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35" windowHeight="6060" firstSheet="1" activeTab="1"/>
  </bookViews>
  <sheets>
    <sheet name="Общежитие_1" sheetId="1" state="hidden" r:id="rId1"/>
    <sheet name="Расчет квартплаты" sheetId="2" r:id="rId2"/>
    <sheet name="Бланк" sheetId="3" r:id="rId3"/>
  </sheets>
  <externalReferences>
    <externalReference r:id="rId6"/>
  </externalReferences>
  <definedNames>
    <definedName name="_xlnm._FilterDatabase" localSheetId="0" hidden="1">'Общежитие_1'!$A$1:$I$32</definedName>
    <definedName name="_xlnm._FilterDatabase" localSheetId="1" hidden="1">'Расчет квартплаты'!$B$1:$C$34</definedName>
    <definedName name="БазаДанных">'Расчет квартплаты'!$A$3:$AJ$34</definedName>
    <definedName name="Водоотв">'Расчет квартплаты'!$J$2</definedName>
    <definedName name="Горвода">'Расчет квартплаты'!$K$2</definedName>
    <definedName name="Жилая_площадь">'Расчет квартплаты'!$E$3:$E$34</definedName>
    <definedName name="_xlnm.Print_Titles" localSheetId="1">'Расчет квартплаты'!$1:$2</definedName>
    <definedName name="инфа_для_расч">'Расчет квартплаты'!$C$3:$G$34</definedName>
    <definedName name="Квартплата">'Расчет квартплаты'!$H$2</definedName>
    <definedName name="Льгота">1-'[1]Общежитие 1'!$J1</definedName>
    <definedName name="Мусор">'Расчет квартплаты'!$O$2</definedName>
    <definedName name="Найм">'Расчет квартплаты'!$N$2</definedName>
    <definedName name="_xlnm.Print_Area" localSheetId="2">'Бланк'!$A$1:$G$50</definedName>
    <definedName name="_xlnm.Print_Area" localSheetId="1">'Расчет квартплаты'!$B$1:$P$36</definedName>
    <definedName name="Отоплен">'Расчет квартплаты'!$L$2</definedName>
    <definedName name="Процент_по_льготе">'Расчет квартплаты'!#REF!</definedName>
    <definedName name="Счетчик">'Расчет квартплаты'!$T$2</definedName>
    <definedName name="ФИО">'Расчет квартплаты'!$C$3:$C$34</definedName>
    <definedName name="Холвода">'Расчет квартплаты'!$I$2</definedName>
    <definedName name="Энегр" comment="БазаДанных">'Расчет квартплаты'!$M$2</definedName>
  </definedNames>
  <calcPr fullCalcOnLoad="1"/>
</workbook>
</file>

<file path=xl/sharedStrings.xml><?xml version="1.0" encoding="utf-8"?>
<sst xmlns="http://schemas.openxmlformats.org/spreadsheetml/2006/main" count="85" uniqueCount="65">
  <si>
    <t>№ общ.</t>
  </si>
  <si>
    <t>Ф.И.О.</t>
  </si>
  <si>
    <t>Ермолаева Екатерина Евгеньевна</t>
  </si>
  <si>
    <t>№ комнаты</t>
  </si>
  <si>
    <t>Корпус №</t>
  </si>
  <si>
    <t>Кол-во проживающих</t>
  </si>
  <si>
    <t>Квартплата</t>
  </si>
  <si>
    <t>Холодная вода</t>
  </si>
  <si>
    <t>Водоотведение</t>
  </si>
  <si>
    <t>Горячая вода</t>
  </si>
  <si>
    <t>Отопление</t>
  </si>
  <si>
    <t>Электроэнергия</t>
  </si>
  <si>
    <t>Найм жилья</t>
  </si>
  <si>
    <t>Вывоз мусора</t>
  </si>
  <si>
    <t>Эл. Энергия</t>
  </si>
  <si>
    <t>ИТОГО к оплате</t>
  </si>
  <si>
    <t>Растегаев  Алексей Геннадьевич</t>
  </si>
  <si>
    <t>Оганесов  Михуш Людвигович</t>
  </si>
  <si>
    <t>Шердакова Ирина Владимировна</t>
  </si>
  <si>
    <t>Чупин Леонид Васильевич</t>
  </si>
  <si>
    <t>Мураховский Василий Евгеньевич</t>
  </si>
  <si>
    <t>Яковлев Илья Владимирович</t>
  </si>
  <si>
    <t>Беспалов Алексей Николаевич</t>
  </si>
  <si>
    <t>Филимонова Александра Сергеевна</t>
  </si>
  <si>
    <t>Зубенко Татьяна Васильевна</t>
  </si>
  <si>
    <t>Мамцев  Эдуард Юрьевич</t>
  </si>
  <si>
    <t>Шершнев  Сергей Геннадьевич</t>
  </si>
  <si>
    <t>Кочетыгов Алексей Станиславович</t>
  </si>
  <si>
    <t>Гайдукевич Ирина Викторовна</t>
  </si>
  <si>
    <t>Харченко Е.Б.</t>
  </si>
  <si>
    <t>Ахметов  Марс Самятович</t>
  </si>
  <si>
    <t>Игошин Андрей А.</t>
  </si>
  <si>
    <t>Дмитриева Лариса Михайловна</t>
  </si>
  <si>
    <t>Селищев А.П.</t>
  </si>
  <si>
    <t>Азарова Анжелика Золтовна</t>
  </si>
  <si>
    <t>Лысенко Александр Сергеевич</t>
  </si>
  <si>
    <t>Воробьев Евгений Валерьевич</t>
  </si>
  <si>
    <t>Березанский Александр Сергеевич</t>
  </si>
  <si>
    <t>Мысаков Н.В.</t>
  </si>
  <si>
    <t>Холоденков Алексей Анатольевич</t>
  </si>
  <si>
    <t>Гордеев Андрей Анатольевич</t>
  </si>
  <si>
    <t>Карев Валерий Вячеславович</t>
  </si>
  <si>
    <t xml:space="preserve">Толстов Виктор Юрьевич  </t>
  </si>
  <si>
    <t>Голотин  Александр Александрович</t>
  </si>
  <si>
    <t>Чуждан  Эдуард Юрьевич</t>
  </si>
  <si>
    <t>Льготные категории</t>
  </si>
  <si>
    <t>процент начесления по льготе</t>
  </si>
  <si>
    <t>Площадь S 2</t>
  </si>
  <si>
    <t>Ермакова Елена Михайловна</t>
  </si>
  <si>
    <t>Общежитие №</t>
  </si>
  <si>
    <t>Комната</t>
  </si>
  <si>
    <t xml:space="preserve">Итого: </t>
  </si>
  <si>
    <t>+</t>
  </si>
  <si>
    <t>Жилая площадь</t>
  </si>
  <si>
    <t>Кол-во льготников</t>
  </si>
  <si>
    <t>процент по льготе</t>
  </si>
  <si>
    <t>Корпус</t>
  </si>
  <si>
    <t>х</t>
  </si>
  <si>
    <t>Итог</t>
  </si>
  <si>
    <t xml:space="preserve">Счетчик </t>
  </si>
  <si>
    <t>Иванов Иван Иванович</t>
  </si>
  <si>
    <t>Сидоров Сидор Матрасович</t>
  </si>
  <si>
    <t>Пупкин Пупок Пупкович</t>
  </si>
  <si>
    <t>Ванькин Ванька Ванькович</t>
  </si>
  <si>
    <t>Петров Петр Петрович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</si>
</sst>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р.-419]_-;\-* #,##0.00[$р.-419]_-;_-* &quot;-&quot;??[$р.-419]_-;_-@_-"/>
    <numFmt numFmtId="170" formatCode="0.0"/>
    <numFmt numFmtId="171" formatCode="0.000"/>
    <numFmt numFmtId="172" formatCode="0.0000"/>
    <numFmt numFmtId="173" formatCode="[$-FC19]d\ mmmm\ yyyy\ &quot;г.&quot;"/>
    <numFmt numFmtId="174" formatCode="[$-419]mmmm;@"/>
  </numFmts>
  <fonts count="25"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1"/>
      <color indexed="62"/>
      <name val="Times New Roman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>
      <alignment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4" fontId="4" fillId="0" borderId="0" xfId="0" applyNumberFormat="1" applyFont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69" fontId="4" fillId="0" borderId="0" xfId="0" applyNumberFormat="1" applyFont="1" applyAlignment="1" applyProtection="1">
      <alignment horizontal="right"/>
      <protection hidden="1"/>
    </xf>
    <xf numFmtId="44" fontId="22" fillId="0" borderId="0" xfId="42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4" xfId="0" applyNumberFormat="1" applyFont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8" borderId="10" xfId="0" applyFont="1" applyFill="1" applyBorder="1" applyAlignment="1">
      <alignment horizontal="center"/>
    </xf>
    <xf numFmtId="1" fontId="4" fillId="0" borderId="16" xfId="0" applyNumberFormat="1" applyFont="1" applyBorder="1" applyAlignment="1" applyProtection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6" borderId="18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/>
    </xf>
    <xf numFmtId="4" fontId="23" fillId="3" borderId="20" xfId="0" applyNumberFormat="1" applyFont="1" applyFill="1" applyBorder="1" applyAlignment="1" applyProtection="1">
      <alignment horizontal="center"/>
      <protection locked="0"/>
    </xf>
    <xf numFmtId="0" fontId="4" fillId="6" borderId="21" xfId="0" applyNumberFormat="1" applyFont="1" applyFill="1" applyBorder="1" applyAlignment="1">
      <alignment horizontal="center" vertical="center" wrapText="1"/>
    </xf>
    <xf numFmtId="0" fontId="24" fillId="0" borderId="22" xfId="2" applyNumberFormat="1" applyFont="1" applyBorder="1" applyAlignment="1" applyProtection="1">
      <alignment horizontal="left" vertical="center"/>
      <protection hidden="1"/>
    </xf>
    <xf numFmtId="0" fontId="24" fillId="2" borderId="14" xfId="2" applyNumberFormat="1" applyFont="1" applyFill="1" applyBorder="1" applyAlignment="1" applyProtection="1">
      <alignment horizontal="left" vertical="center"/>
      <protection hidden="1"/>
    </xf>
    <xf numFmtId="1" fontId="24" fillId="2" borderId="14" xfId="2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24" fillId="0" borderId="16" xfId="2" applyNumberFormat="1" applyFont="1" applyBorder="1" applyAlignment="1" applyProtection="1">
      <alignment horizontal="left" vertical="center"/>
      <protection hidden="1"/>
    </xf>
    <xf numFmtId="0" fontId="24" fillId="0" borderId="21" xfId="2" applyNumberFormat="1" applyFont="1" applyBorder="1" applyAlignment="1" applyProtection="1">
      <alignment horizontal="left" vertical="center"/>
      <protection hidden="1"/>
    </xf>
    <xf numFmtId="4" fontId="24" fillId="0" borderId="21" xfId="2" applyNumberFormat="1" applyFont="1" applyBorder="1" applyAlignment="1" applyProtection="1">
      <alignment horizontal="center" vertical="center"/>
      <protection hidden="1"/>
    </xf>
    <xf numFmtId="164" fontId="24" fillId="0" borderId="21" xfId="2" applyNumberFormat="1" applyFont="1" applyBorder="1" applyAlignment="1" applyProtection="1">
      <alignment horizontal="right" vertical="center"/>
      <protection hidden="1"/>
    </xf>
    <xf numFmtId="4" fontId="24" fillId="0" borderId="10" xfId="2" applyNumberFormat="1" applyFont="1" applyBorder="1" applyAlignment="1" applyProtection="1">
      <alignment horizontal="center" vertical="center"/>
      <protection hidden="1"/>
    </xf>
    <xf numFmtId="164" fontId="24" fillId="0" borderId="10" xfId="2" applyNumberFormat="1" applyFont="1" applyBorder="1" applyAlignment="1" applyProtection="1">
      <alignment horizontal="right" vertical="center"/>
      <protection hidden="1"/>
    </xf>
  </cellXfs>
  <cellStyles count="48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fgColor indexed="22"/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77;&#1078;&#1080;&#1090;&#1080;&#1077;_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житие 1"/>
      <sheetName val="Расчет квартплаты"/>
      <sheetName val="Общежитие_1"/>
    </sheetNames>
  </externalBook>
</externalLink>
</file>

<file path=xl/tables/table1.xml><?xml version="1.0" encoding="utf-8"?>
<table xmlns="http://schemas.openxmlformats.org/spreadsheetml/2006/main" id="2" name="Таблица2" displayName="Таблица2" ref="A1:I34" insertRow="1" totalsRowCount="1">
  <autoFilter ref="A1:I34"/>
  <tableColumns count="9">
    <tableColumn id="1" name="№ общ."/>
    <tableColumn id="2" name="Корпус №"/>
    <tableColumn id="3" name="№ комнаты"/>
    <tableColumn id="5" name="Ф.И.О."/>
    <tableColumn id="6" name="Кол-во проживающих"/>
    <tableColumn id="7" name="Площадь S 2"/>
    <tableColumn id="8" name="Эл. Энергия"/>
    <tableColumn id="9" name="Льготные категории"/>
    <tableColumn id="10" name="процент начесления по льготе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7"/>
  <sheetViews>
    <sheetView zoomScalePageLayoutView="0" workbookViewId="0" topLeftCell="C1">
      <pane ySplit="1" topLeftCell="BM2" activePane="bottomLeft" state="frozen"/>
      <selection pane="topLeft" activeCell="A1" sqref="A1"/>
      <selection pane="bottomLeft" activeCell="I34" sqref="I34"/>
    </sheetView>
  </sheetViews>
  <sheetFormatPr defaultColWidth="9.140625" defaultRowHeight="15" outlineLevelCol="1"/>
  <cols>
    <col min="1" max="2" width="5.8515625" style="8" hidden="1" customWidth="1" outlineLevel="1"/>
    <col min="3" max="3" width="5.8515625" style="8" customWidth="1" collapsed="1"/>
    <col min="4" max="4" width="43.7109375" style="8" customWidth="1"/>
    <col min="5" max="5" width="9.28125" style="8" customWidth="1"/>
    <col min="6" max="6" width="8.421875" style="8" customWidth="1"/>
    <col min="7" max="7" width="8.28125" style="8" customWidth="1"/>
    <col min="8" max="9" width="10.00390625" style="8" customWidth="1"/>
    <col min="10" max="16384" width="9.140625" style="8" customWidth="1"/>
  </cols>
  <sheetData>
    <row r="1" spans="1:13" s="2" customFormat="1" ht="45" customHeight="1">
      <c r="A1" s="12" t="s">
        <v>0</v>
      </c>
      <c r="B1" s="9" t="s">
        <v>4</v>
      </c>
      <c r="C1" s="9" t="s">
        <v>3</v>
      </c>
      <c r="D1" s="9" t="s">
        <v>1</v>
      </c>
      <c r="E1" s="9" t="s">
        <v>5</v>
      </c>
      <c r="F1" s="9" t="s">
        <v>47</v>
      </c>
      <c r="G1" s="10" t="s">
        <v>14</v>
      </c>
      <c r="H1" s="10" t="s">
        <v>45</v>
      </c>
      <c r="I1" s="10" t="s">
        <v>46</v>
      </c>
      <c r="J1" s="1"/>
      <c r="K1" s="1"/>
      <c r="L1" s="1"/>
      <c r="M1" s="1"/>
    </row>
    <row r="2" spans="1:9" ht="15">
      <c r="A2" s="11">
        <v>2</v>
      </c>
      <c r="B2" s="3">
        <v>1</v>
      </c>
      <c r="C2" s="3">
        <v>1</v>
      </c>
      <c r="D2" s="3" t="s">
        <v>16</v>
      </c>
      <c r="E2" s="3">
        <v>3</v>
      </c>
      <c r="F2" s="4">
        <v>28.4</v>
      </c>
      <c r="G2" s="5">
        <v>70</v>
      </c>
      <c r="H2" s="6">
        <v>1</v>
      </c>
      <c r="I2" s="7">
        <v>0.5</v>
      </c>
    </row>
    <row r="3" spans="1:9" ht="15">
      <c r="A3" s="11">
        <v>2</v>
      </c>
      <c r="B3" s="3">
        <v>1</v>
      </c>
      <c r="C3" s="3">
        <v>2</v>
      </c>
      <c r="D3" s="3" t="s">
        <v>17</v>
      </c>
      <c r="E3" s="3">
        <v>3</v>
      </c>
      <c r="F3" s="4">
        <v>29.5</v>
      </c>
      <c r="G3" s="5">
        <v>70</v>
      </c>
      <c r="H3" s="6"/>
      <c r="I3" s="7"/>
    </row>
    <row r="4" spans="1:9" ht="15">
      <c r="A4" s="11">
        <v>2</v>
      </c>
      <c r="B4" s="3">
        <v>1</v>
      </c>
      <c r="C4" s="3">
        <v>3</v>
      </c>
      <c r="D4" s="3" t="s">
        <v>18</v>
      </c>
      <c r="E4" s="3">
        <v>3</v>
      </c>
      <c r="F4" s="4">
        <v>30.9</v>
      </c>
      <c r="G4" s="5">
        <v>70</v>
      </c>
      <c r="H4" s="6"/>
      <c r="I4" s="7"/>
    </row>
    <row r="5" spans="1:9" ht="15">
      <c r="A5" s="11">
        <v>2</v>
      </c>
      <c r="B5" s="3">
        <v>1</v>
      </c>
      <c r="C5" s="3">
        <v>4</v>
      </c>
      <c r="D5" s="3" t="s">
        <v>19</v>
      </c>
      <c r="E5" s="3">
        <v>3</v>
      </c>
      <c r="F5" s="4">
        <v>30.9</v>
      </c>
      <c r="G5" s="5">
        <v>70</v>
      </c>
      <c r="H5" s="6"/>
      <c r="I5" s="7"/>
    </row>
    <row r="6" spans="1:9" ht="15">
      <c r="A6" s="11">
        <v>2</v>
      </c>
      <c r="B6" s="3">
        <v>1</v>
      </c>
      <c r="C6" s="3">
        <v>5</v>
      </c>
      <c r="D6" s="3" t="s">
        <v>20</v>
      </c>
      <c r="E6" s="3">
        <v>3</v>
      </c>
      <c r="F6" s="4">
        <v>16.2</v>
      </c>
      <c r="G6" s="5">
        <v>70</v>
      </c>
      <c r="H6" s="6"/>
      <c r="I6" s="7"/>
    </row>
    <row r="7" spans="1:9" ht="15">
      <c r="A7" s="11">
        <v>2</v>
      </c>
      <c r="B7" s="3">
        <v>1</v>
      </c>
      <c r="C7" s="3">
        <v>6</v>
      </c>
      <c r="D7" s="3" t="s">
        <v>44</v>
      </c>
      <c r="E7" s="3">
        <v>3</v>
      </c>
      <c r="F7" s="4">
        <v>26.7</v>
      </c>
      <c r="G7" s="5">
        <v>70</v>
      </c>
      <c r="H7" s="6"/>
      <c r="I7" s="7"/>
    </row>
    <row r="8" spans="1:9" ht="15">
      <c r="A8" s="11">
        <v>2</v>
      </c>
      <c r="B8" s="3">
        <v>1</v>
      </c>
      <c r="C8" s="3">
        <v>7</v>
      </c>
      <c r="D8" s="3" t="s">
        <v>21</v>
      </c>
      <c r="E8" s="3">
        <v>4</v>
      </c>
      <c r="F8" s="4">
        <v>26.4</v>
      </c>
      <c r="G8" s="5">
        <v>70</v>
      </c>
      <c r="H8" s="6"/>
      <c r="I8" s="7"/>
    </row>
    <row r="9" spans="1:9" ht="15">
      <c r="A9" s="11">
        <v>2</v>
      </c>
      <c r="B9" s="3">
        <v>1</v>
      </c>
      <c r="C9" s="3">
        <v>8</v>
      </c>
      <c r="D9" s="3" t="s">
        <v>22</v>
      </c>
      <c r="E9" s="3">
        <v>3</v>
      </c>
      <c r="F9" s="4">
        <v>29.12</v>
      </c>
      <c r="G9" s="5">
        <v>70</v>
      </c>
      <c r="H9" s="6"/>
      <c r="I9" s="7"/>
    </row>
    <row r="10" spans="1:9" ht="15">
      <c r="A10" s="11">
        <v>2</v>
      </c>
      <c r="B10" s="3">
        <v>1</v>
      </c>
      <c r="C10" s="3">
        <v>9</v>
      </c>
      <c r="D10" s="3" t="s">
        <v>23</v>
      </c>
      <c r="E10" s="3">
        <v>2</v>
      </c>
      <c r="F10" s="4">
        <v>30.3</v>
      </c>
      <c r="G10" s="5">
        <v>70</v>
      </c>
      <c r="H10" s="6"/>
      <c r="I10" s="7"/>
    </row>
    <row r="11" spans="1:9" ht="15">
      <c r="A11" s="11">
        <v>2</v>
      </c>
      <c r="B11" s="3">
        <v>1</v>
      </c>
      <c r="C11" s="3">
        <v>10</v>
      </c>
      <c r="D11" s="3" t="s">
        <v>26</v>
      </c>
      <c r="E11" s="3">
        <v>4</v>
      </c>
      <c r="F11" s="4">
        <v>32.5</v>
      </c>
      <c r="G11" s="5">
        <v>70</v>
      </c>
      <c r="H11" s="6"/>
      <c r="I11" s="7"/>
    </row>
    <row r="12" spans="1:9" ht="15">
      <c r="A12" s="11">
        <v>2</v>
      </c>
      <c r="B12" s="3">
        <v>1</v>
      </c>
      <c r="C12" s="3">
        <v>11</v>
      </c>
      <c r="D12" s="3" t="s">
        <v>27</v>
      </c>
      <c r="E12" s="3">
        <v>3</v>
      </c>
      <c r="F12" s="4">
        <v>15.3</v>
      </c>
      <c r="G12" s="5">
        <v>70</v>
      </c>
      <c r="H12" s="6"/>
      <c r="I12" s="7"/>
    </row>
    <row r="13" spans="1:9" ht="15">
      <c r="A13" s="11">
        <v>2</v>
      </c>
      <c r="B13" s="3">
        <v>1</v>
      </c>
      <c r="C13" s="3">
        <v>12</v>
      </c>
      <c r="D13" s="3" t="s">
        <v>48</v>
      </c>
      <c r="E13" s="3">
        <v>1</v>
      </c>
      <c r="F13" s="4">
        <v>15</v>
      </c>
      <c r="G13" s="5">
        <v>70</v>
      </c>
      <c r="H13" s="6"/>
      <c r="I13" s="7"/>
    </row>
    <row r="14" spans="1:9" ht="15">
      <c r="A14" s="11">
        <v>2</v>
      </c>
      <c r="B14" s="3">
        <v>1</v>
      </c>
      <c r="C14" s="3">
        <v>13</v>
      </c>
      <c r="D14" s="3" t="s">
        <v>28</v>
      </c>
      <c r="E14" s="3">
        <v>3</v>
      </c>
      <c r="F14" s="4">
        <v>30.1</v>
      </c>
      <c r="G14" s="5">
        <v>70</v>
      </c>
      <c r="H14" s="6"/>
      <c r="I14" s="7"/>
    </row>
    <row r="15" spans="1:9" ht="15">
      <c r="A15" s="11">
        <v>2</v>
      </c>
      <c r="B15" s="3">
        <v>1</v>
      </c>
      <c r="C15" s="3">
        <v>14</v>
      </c>
      <c r="D15" s="3" t="s">
        <v>29</v>
      </c>
      <c r="E15" s="3">
        <v>2</v>
      </c>
      <c r="F15" s="4">
        <v>30.5</v>
      </c>
      <c r="G15" s="5">
        <v>70</v>
      </c>
      <c r="H15" s="6"/>
      <c r="I15" s="7"/>
    </row>
    <row r="16" spans="1:9" ht="15">
      <c r="A16" s="11">
        <v>2</v>
      </c>
      <c r="B16" s="3">
        <v>1</v>
      </c>
      <c r="C16" s="3">
        <v>15</v>
      </c>
      <c r="D16" s="3" t="s">
        <v>30</v>
      </c>
      <c r="E16" s="3">
        <v>3</v>
      </c>
      <c r="F16" s="4">
        <v>30</v>
      </c>
      <c r="G16" s="5">
        <v>70</v>
      </c>
      <c r="H16" s="6"/>
      <c r="I16" s="7"/>
    </row>
    <row r="17" spans="1:9" ht="15">
      <c r="A17" s="11">
        <v>2</v>
      </c>
      <c r="B17" s="3">
        <v>1</v>
      </c>
      <c r="C17" s="3">
        <v>16</v>
      </c>
      <c r="D17" s="3" t="s">
        <v>31</v>
      </c>
      <c r="E17" s="3">
        <v>3</v>
      </c>
      <c r="F17" s="4">
        <v>32.7</v>
      </c>
      <c r="G17" s="5">
        <v>70</v>
      </c>
      <c r="H17" s="6"/>
      <c r="I17" s="7"/>
    </row>
    <row r="18" spans="1:9" ht="15">
      <c r="A18" s="11">
        <v>2</v>
      </c>
      <c r="B18" s="3">
        <v>1</v>
      </c>
      <c r="C18" s="3">
        <v>17</v>
      </c>
      <c r="D18" s="3" t="s">
        <v>32</v>
      </c>
      <c r="E18" s="3">
        <v>1</v>
      </c>
      <c r="F18" s="4">
        <v>16.1</v>
      </c>
      <c r="G18" s="5">
        <v>70</v>
      </c>
      <c r="H18" s="6"/>
      <c r="I18" s="7"/>
    </row>
    <row r="19" spans="1:9" ht="15">
      <c r="A19" s="11">
        <v>2</v>
      </c>
      <c r="B19" s="3">
        <v>1</v>
      </c>
      <c r="C19" s="3">
        <v>18</v>
      </c>
      <c r="D19" s="3" t="s">
        <v>33</v>
      </c>
      <c r="E19" s="3">
        <v>4</v>
      </c>
      <c r="F19" s="4">
        <v>28.2</v>
      </c>
      <c r="G19" s="5">
        <v>70</v>
      </c>
      <c r="H19" s="6"/>
      <c r="I19" s="7"/>
    </row>
    <row r="20" spans="1:9" ht="15">
      <c r="A20" s="11">
        <v>2</v>
      </c>
      <c r="B20" s="3">
        <v>1</v>
      </c>
      <c r="C20" s="3">
        <v>19</v>
      </c>
      <c r="D20" s="3" t="s">
        <v>34</v>
      </c>
      <c r="E20" s="3">
        <v>2</v>
      </c>
      <c r="F20" s="4">
        <v>27.7</v>
      </c>
      <c r="G20" s="5">
        <v>70</v>
      </c>
      <c r="H20" s="6"/>
      <c r="I20" s="7"/>
    </row>
    <row r="21" spans="1:9" ht="15">
      <c r="A21" s="11">
        <v>2</v>
      </c>
      <c r="B21" s="3">
        <v>1</v>
      </c>
      <c r="C21" s="3">
        <v>20</v>
      </c>
      <c r="D21" s="3" t="s">
        <v>35</v>
      </c>
      <c r="E21" s="3">
        <v>5</v>
      </c>
      <c r="F21" s="4">
        <v>28.1</v>
      </c>
      <c r="G21" s="5">
        <v>70</v>
      </c>
      <c r="H21" s="6"/>
      <c r="I21" s="7"/>
    </row>
    <row r="22" spans="1:9" ht="15">
      <c r="A22" s="11">
        <v>2</v>
      </c>
      <c r="B22" s="3">
        <v>1</v>
      </c>
      <c r="C22" s="3">
        <v>21</v>
      </c>
      <c r="D22" s="3" t="s">
        <v>36</v>
      </c>
      <c r="E22" s="3">
        <v>2</v>
      </c>
      <c r="F22" s="4">
        <v>28.5</v>
      </c>
      <c r="G22" s="5">
        <v>70</v>
      </c>
      <c r="H22" s="6"/>
      <c r="I22" s="7"/>
    </row>
    <row r="23" spans="1:9" ht="15">
      <c r="A23" s="11">
        <v>2</v>
      </c>
      <c r="B23" s="3">
        <v>1</v>
      </c>
      <c r="C23" s="3">
        <v>22</v>
      </c>
      <c r="D23" s="3" t="s">
        <v>37</v>
      </c>
      <c r="E23" s="3">
        <v>3</v>
      </c>
      <c r="F23" s="4">
        <v>29.3</v>
      </c>
      <c r="G23" s="5">
        <v>70</v>
      </c>
      <c r="H23" s="6"/>
      <c r="I23" s="7"/>
    </row>
    <row r="24" spans="1:9" ht="15">
      <c r="A24" s="11">
        <v>2</v>
      </c>
      <c r="B24" s="3">
        <v>1</v>
      </c>
      <c r="C24" s="3">
        <v>23</v>
      </c>
      <c r="D24" s="3" t="s">
        <v>42</v>
      </c>
      <c r="E24" s="3">
        <v>2</v>
      </c>
      <c r="F24" s="4">
        <v>27.8</v>
      </c>
      <c r="G24" s="5">
        <v>70</v>
      </c>
      <c r="H24" s="6"/>
      <c r="I24" s="7"/>
    </row>
    <row r="25" spans="1:9" ht="15">
      <c r="A25" s="11">
        <v>2</v>
      </c>
      <c r="B25" s="3">
        <v>1</v>
      </c>
      <c r="C25" s="3">
        <v>24</v>
      </c>
      <c r="D25" s="3" t="s">
        <v>38</v>
      </c>
      <c r="E25" s="3">
        <v>3</v>
      </c>
      <c r="F25" s="4">
        <v>30.2</v>
      </c>
      <c r="G25" s="5">
        <v>70</v>
      </c>
      <c r="H25" s="6"/>
      <c r="I25" s="7"/>
    </row>
    <row r="26" spans="1:9" ht="15">
      <c r="A26" s="11">
        <v>2</v>
      </c>
      <c r="B26" s="3">
        <v>1</v>
      </c>
      <c r="C26" s="3">
        <v>25</v>
      </c>
      <c r="D26" s="3" t="s">
        <v>39</v>
      </c>
      <c r="E26" s="3">
        <v>4</v>
      </c>
      <c r="F26" s="4">
        <v>29.7</v>
      </c>
      <c r="G26" s="5">
        <v>70</v>
      </c>
      <c r="H26" s="6"/>
      <c r="I26" s="7"/>
    </row>
    <row r="27" spans="1:9" ht="15">
      <c r="A27" s="11">
        <v>2</v>
      </c>
      <c r="B27" s="3">
        <v>1</v>
      </c>
      <c r="C27" s="3">
        <v>26</v>
      </c>
      <c r="D27" s="3" t="s">
        <v>40</v>
      </c>
      <c r="E27" s="3">
        <v>2</v>
      </c>
      <c r="F27" s="4">
        <v>31.1</v>
      </c>
      <c r="G27" s="5">
        <v>70</v>
      </c>
      <c r="H27" s="6"/>
      <c r="I27" s="7"/>
    </row>
    <row r="28" spans="1:9" ht="15">
      <c r="A28" s="11">
        <v>2</v>
      </c>
      <c r="B28" s="3">
        <v>1</v>
      </c>
      <c r="C28" s="3">
        <v>27</v>
      </c>
      <c r="D28" s="3" t="s">
        <v>41</v>
      </c>
      <c r="E28" s="3">
        <v>1</v>
      </c>
      <c r="F28" s="4">
        <v>30.9</v>
      </c>
      <c r="G28" s="5">
        <v>70</v>
      </c>
      <c r="H28" s="6"/>
      <c r="I28" s="7"/>
    </row>
    <row r="29" spans="1:9" ht="15">
      <c r="A29" s="11">
        <v>2</v>
      </c>
      <c r="B29" s="3">
        <v>1</v>
      </c>
      <c r="C29" s="3">
        <v>28</v>
      </c>
      <c r="D29" s="3" t="s">
        <v>2</v>
      </c>
      <c r="E29" s="3">
        <v>4</v>
      </c>
      <c r="F29" s="4">
        <v>27.19</v>
      </c>
      <c r="G29" s="5">
        <v>70</v>
      </c>
      <c r="H29" s="6"/>
      <c r="I29" s="7"/>
    </row>
    <row r="30" spans="1:9" ht="15">
      <c r="A30" s="11">
        <v>2</v>
      </c>
      <c r="B30" s="3">
        <v>1</v>
      </c>
      <c r="C30" s="3">
        <v>29</v>
      </c>
      <c r="D30" s="3" t="s">
        <v>25</v>
      </c>
      <c r="E30" s="3">
        <v>4</v>
      </c>
      <c r="F30" s="4">
        <v>31.4</v>
      </c>
      <c r="G30" s="5">
        <v>70</v>
      </c>
      <c r="H30" s="6"/>
      <c r="I30" s="7"/>
    </row>
    <row r="31" spans="1:9" ht="15">
      <c r="A31" s="11">
        <v>2</v>
      </c>
      <c r="B31" s="3">
        <v>1</v>
      </c>
      <c r="C31" s="3">
        <v>30</v>
      </c>
      <c r="D31" s="3" t="s">
        <v>24</v>
      </c>
      <c r="E31" s="3">
        <v>2</v>
      </c>
      <c r="F31" s="4">
        <v>29.4</v>
      </c>
      <c r="G31" s="5">
        <v>70</v>
      </c>
      <c r="H31" s="6"/>
      <c r="I31" s="7"/>
    </row>
    <row r="32" spans="1:9" ht="15">
      <c r="A32" s="11">
        <v>2</v>
      </c>
      <c r="B32" s="3">
        <v>1</v>
      </c>
      <c r="C32" s="3">
        <v>31</v>
      </c>
      <c r="D32" s="3" t="s">
        <v>43</v>
      </c>
      <c r="E32" s="3">
        <v>3</v>
      </c>
      <c r="F32" s="4">
        <v>28.4</v>
      </c>
      <c r="G32" s="5">
        <v>70</v>
      </c>
      <c r="H32" s="6"/>
      <c r="I32" s="7"/>
    </row>
    <row r="33" spans="1:9" ht="15">
      <c r="A33" s="31"/>
      <c r="B33" s="30"/>
      <c r="C33" s="30"/>
      <c r="D33" s="30"/>
      <c r="E33" s="30"/>
      <c r="F33" s="29"/>
      <c r="G33" s="28"/>
      <c r="H33" s="27"/>
      <c r="I33" s="26"/>
    </row>
    <row r="34" spans="1:9" ht="15">
      <c r="A34" s="34" t="s">
        <v>58</v>
      </c>
      <c r="B34" s="35"/>
      <c r="C34" s="35"/>
      <c r="D34" s="35"/>
      <c r="E34" s="35"/>
      <c r="F34" s="36"/>
      <c r="G34" s="35"/>
      <c r="H34" s="37"/>
      <c r="I34" s="37"/>
    </row>
    <row r="35" spans="1:9" ht="15">
      <c r="A35"/>
      <c r="B35"/>
      <c r="C35"/>
      <c r="D35"/>
      <c r="E35"/>
      <c r="F35"/>
      <c r="G35"/>
      <c r="H35"/>
      <c r="I35"/>
    </row>
    <row r="37" spans="5:7" ht="15">
      <c r="E37" s="8">
        <f>SUM(E2:E32)</f>
        <v>88</v>
      </c>
      <c r="G37" s="8">
        <f>SUM(G2:G36)</f>
        <v>2170</v>
      </c>
    </row>
  </sheetData>
  <sheetProtection/>
  <autoFilter ref="A1:I32"/>
  <dataValidations count="3">
    <dataValidation type="whole" allowBlank="1" showInputMessage="1" showErrorMessage="1" error="Неправильно введено количество проживающих,&#10;Проживающих на данной площади не может быть такое количество человек" sqref="E2:E33">
      <formula1>1</formula1>
      <formula2>6</formula2>
    </dataValidation>
    <dataValidation type="decimal" allowBlank="1" showInputMessage="1" showErrorMessage="1" sqref="F2:F3">
      <formula1>5</formula1>
      <formula2>30.5</formula2>
    </dataValidation>
    <dataValidation type="decimal" allowBlank="1" showInputMessage="1" showErrorMessage="1" sqref="F4:F33">
      <formula1>5</formula1>
      <formula2>40.5</formula2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36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.28125" style="24" customWidth="1"/>
    <col min="2" max="2" width="5.421875" style="24" customWidth="1"/>
    <col min="3" max="3" width="33.140625" style="24" customWidth="1"/>
    <col min="4" max="4" width="8.00390625" style="24" customWidth="1"/>
    <col min="5" max="7" width="7.421875" style="24" customWidth="1"/>
    <col min="8" max="8" width="11.7109375" style="24" customWidth="1"/>
    <col min="9" max="9" width="9.28125" style="24" bestFit="1" customWidth="1"/>
    <col min="10" max="13" width="10.28125" style="24" bestFit="1" customWidth="1"/>
    <col min="14" max="15" width="9.28125" style="24" bestFit="1" customWidth="1"/>
    <col min="16" max="16" width="13.140625" style="24" customWidth="1"/>
    <col min="17" max="20" width="9.140625" style="24" customWidth="1"/>
    <col min="21" max="22" width="3.57421875" style="24" customWidth="1"/>
    <col min="23" max="36" width="9.140625" style="24" customWidth="1"/>
    <col min="37" max="37" width="10.140625" style="24" customWidth="1"/>
    <col min="38" max="16384" width="9.140625" style="24" customWidth="1"/>
  </cols>
  <sheetData>
    <row r="1" spans="2:37" ht="34.5" customHeight="1">
      <c r="B1" s="46" t="s">
        <v>3</v>
      </c>
      <c r="C1" s="46" t="s">
        <v>1</v>
      </c>
      <c r="D1" s="46" t="s">
        <v>5</v>
      </c>
      <c r="E1" s="46" t="s">
        <v>53</v>
      </c>
      <c r="F1" s="46" t="s">
        <v>54</v>
      </c>
      <c r="G1" s="46" t="s">
        <v>55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7" t="s">
        <v>12</v>
      </c>
      <c r="O1" s="47" t="s">
        <v>13</v>
      </c>
      <c r="P1" s="46" t="s">
        <v>15</v>
      </c>
      <c r="T1" s="24" t="s">
        <v>59</v>
      </c>
      <c r="AI1" s="42" t="s">
        <v>0</v>
      </c>
      <c r="AJ1" s="42" t="s">
        <v>4</v>
      </c>
      <c r="AK1" s="48">
        <f ca="1">TODAY()</f>
        <v>40124</v>
      </c>
    </row>
    <row r="2" spans="2:36" ht="15.75" thickBot="1">
      <c r="B2" s="49"/>
      <c r="C2" s="49"/>
      <c r="D2" s="49"/>
      <c r="E2" s="49"/>
      <c r="F2" s="50"/>
      <c r="G2" s="49"/>
      <c r="H2" s="51">
        <v>6.66</v>
      </c>
      <c r="I2" s="51">
        <v>107.15</v>
      </c>
      <c r="J2" s="51">
        <v>132.57</v>
      </c>
      <c r="K2" s="51">
        <v>354.3</v>
      </c>
      <c r="L2" s="51">
        <v>15.3</v>
      </c>
      <c r="M2" s="51">
        <v>2.11</v>
      </c>
      <c r="N2" s="51">
        <v>0.5</v>
      </c>
      <c r="O2" s="51">
        <v>41</v>
      </c>
      <c r="P2" s="52"/>
      <c r="T2" s="24">
        <v>70</v>
      </c>
      <c r="AI2" s="43"/>
      <c r="AJ2" s="43"/>
    </row>
    <row r="3" spans="1:36" ht="15.75" thickTop="1">
      <c r="A3" s="24" t="s">
        <v>52</v>
      </c>
      <c r="B3" s="14">
        <v>1</v>
      </c>
      <c r="C3" s="59" t="s">
        <v>60</v>
      </c>
      <c r="D3" s="58">
        <v>3</v>
      </c>
      <c r="E3" s="32">
        <v>28.4</v>
      </c>
      <c r="F3" s="40">
        <v>2</v>
      </c>
      <c r="G3" s="33"/>
      <c r="H3" s="61" t="e">
        <f>IF(ISNA((VLOOKUP(C3,инфа_для_расч,8,0)*Квартплата/VLOOKUP(C3,инфа_для_расч,3,0))*(VLOOKUP(C3,инфа_для_расч,3,0)-VLOOKUP(C3,инфа_для_расч,10,0)+VLOOKUP(C3,инфа_для_расч,10,0)*VLOOKUP(C3,инфа_для_расч,11,0))),"0",(VLOOKUP(C3,инфа_для_расч,3,0)*Квартплата/VLOOKUP(C3,инфа_для_расч,3,0))*(VLOOKUP(C3,инфа_для_расч,3,0)-VLOOKUP(C3,инфа_для_расч,10,0)+VLOOKUP(C3,инфа_для_расч,10,0)*VLOOKUP(C3,инфа_для_расч,11,0)))</f>
        <v>#REF!</v>
      </c>
      <c r="I3" s="61">
        <f>IF(C3&gt;0,Холвода*D3,"")</f>
        <v>321.45000000000005</v>
      </c>
      <c r="J3" s="61">
        <f>IF(C3&gt;0,Водоотв*D3,"")</f>
        <v>397.71</v>
      </c>
      <c r="K3" s="61">
        <f>IF(C3&gt;0,Горвода*D3,"")</f>
        <v>1062.9</v>
      </c>
      <c r="L3" s="61">
        <f>IF(C3&gt;0,Отоплен*E3,"")</f>
        <v>434.52</v>
      </c>
      <c r="M3" s="61">
        <f>IF(C3&gt;0,Энегр*Счетчик*D3,"")</f>
        <v>443.09999999999997</v>
      </c>
      <c r="N3" s="61">
        <f>IF(C3&gt;0,Найм*E3,"")</f>
        <v>14.2</v>
      </c>
      <c r="O3" s="61">
        <f>IF(C3&gt;0,Мусор*D3,"")</f>
        <v>123</v>
      </c>
      <c r="P3" s="62" t="e">
        <f>IF(C3&gt;0,IF((CONCATENATE(C3,D3))&gt;0,(ROUND(SUM(H3:O3),2)),""),"")</f>
        <v>#REF!</v>
      </c>
      <c r="AI3" s="13">
        <v>2</v>
      </c>
      <c r="AJ3" s="13">
        <v>1</v>
      </c>
    </row>
    <row r="4" spans="2:36" ht="15">
      <c r="B4" s="14">
        <v>2</v>
      </c>
      <c r="C4" s="60" t="s">
        <v>61</v>
      </c>
      <c r="D4" s="58">
        <v>3</v>
      </c>
      <c r="E4" s="32">
        <v>29.5</v>
      </c>
      <c r="F4" s="41"/>
      <c r="G4" s="33"/>
      <c r="H4" s="63">
        <f>IF(C4&gt;0,Квартплата*'Расчет квартплаты'!E4,"")</f>
        <v>196.47</v>
      </c>
      <c r="I4" s="63">
        <f>IF(C4&gt;0,Холвода*D4,"")</f>
        <v>321.45000000000005</v>
      </c>
      <c r="J4" s="63">
        <f>IF(C4&gt;0,Водоотв*D4,"")</f>
        <v>397.71</v>
      </c>
      <c r="K4" s="63">
        <f>IF(C4&gt;0,Горвода*D4,"")</f>
        <v>1062.9</v>
      </c>
      <c r="L4" s="63">
        <f>IF(C4&gt;0,Отоплен*E4,"")</f>
        <v>451.35</v>
      </c>
      <c r="M4" s="63">
        <f>IF(C4&gt;0,Энегр*Счетчик*D4,"")</f>
        <v>443.09999999999997</v>
      </c>
      <c r="N4" s="63">
        <f>IF(C4&gt;0,Найм*E4,"")</f>
        <v>14.75</v>
      </c>
      <c r="O4" s="63">
        <f>IF(C4&gt;0,Мусор*D4,"")</f>
        <v>123</v>
      </c>
      <c r="P4" s="64">
        <f aca="true" t="shared" si="0" ref="P4:P34">IF(C4&gt;0,IF((CONCATENATE(C4,D4))&gt;0,(ROUND(SUM(H4:O4),2)),""),"")</f>
        <v>3010.73</v>
      </c>
      <c r="AI4" s="13">
        <v>2</v>
      </c>
      <c r="AJ4" s="13">
        <v>1</v>
      </c>
    </row>
    <row r="5" spans="2:36" ht="15">
      <c r="B5" s="14">
        <v>3</v>
      </c>
      <c r="C5" s="60" t="s">
        <v>62</v>
      </c>
      <c r="D5" s="58">
        <v>3</v>
      </c>
      <c r="E5" s="32">
        <v>30.9</v>
      </c>
      <c r="F5" s="41"/>
      <c r="G5" s="33"/>
      <c r="H5" s="63">
        <f>IF(C5&gt;0,Квартплата*'Расчет квартплаты'!E5,"")</f>
        <v>205.79399999999998</v>
      </c>
      <c r="I5" s="63">
        <f>IF(C5&gt;0,Холвода*D5,"")</f>
        <v>321.45000000000005</v>
      </c>
      <c r="J5" s="63">
        <f>IF(C5&gt;0,Водоотв*D5,"")</f>
        <v>397.71</v>
      </c>
      <c r="K5" s="63">
        <f>IF(C5&gt;0,Горвода*D5,"")</f>
        <v>1062.9</v>
      </c>
      <c r="L5" s="63">
        <f>IF(C5&gt;0,Отоплен*E5,"")</f>
        <v>472.77</v>
      </c>
      <c r="M5" s="63">
        <f>IF(C5&gt;0,Энегр*Счетчик*D5,"")</f>
        <v>443.09999999999997</v>
      </c>
      <c r="N5" s="63">
        <f>IF(C5&gt;0,Найм*E5,"")</f>
        <v>15.45</v>
      </c>
      <c r="O5" s="63">
        <f>IF(C5&gt;0,Мусор*D5,"")</f>
        <v>123</v>
      </c>
      <c r="P5" s="64">
        <f t="shared" si="0"/>
        <v>3042.17</v>
      </c>
      <c r="AI5" s="13">
        <v>2</v>
      </c>
      <c r="AJ5" s="13">
        <v>1</v>
      </c>
    </row>
    <row r="6" spans="2:36" ht="15">
      <c r="B6" s="14">
        <v>4</v>
      </c>
      <c r="C6" s="60" t="s">
        <v>63</v>
      </c>
      <c r="D6" s="58">
        <v>3</v>
      </c>
      <c r="E6" s="32">
        <v>30.9</v>
      </c>
      <c r="F6" s="41"/>
      <c r="G6" s="33"/>
      <c r="H6" s="63">
        <f>IF(C6&gt;0,Квартплата*'Расчет квартплаты'!E6,"")</f>
        <v>205.79399999999998</v>
      </c>
      <c r="I6" s="63">
        <f>IF(C6&gt;0,Холвода*D6,"")</f>
        <v>321.45000000000005</v>
      </c>
      <c r="J6" s="63">
        <f>IF(C6&gt;0,Водоотв*D6,"")</f>
        <v>397.71</v>
      </c>
      <c r="K6" s="63">
        <f>IF(C6&gt;0,Горвода*D6,"")</f>
        <v>1062.9</v>
      </c>
      <c r="L6" s="63">
        <f>IF(C6&gt;0,Отоплен*E6,"")</f>
        <v>472.77</v>
      </c>
      <c r="M6" s="63">
        <f>IF(C6&gt;0,Энегр*Счетчик*D6,"")</f>
        <v>443.09999999999997</v>
      </c>
      <c r="N6" s="63">
        <f>IF(C6&gt;0,Найм*E6,"")</f>
        <v>15.45</v>
      </c>
      <c r="O6" s="63">
        <f>IF(C6&gt;0,Мусор*D6,"")</f>
        <v>123</v>
      </c>
      <c r="P6" s="64">
        <f t="shared" si="0"/>
        <v>3042.17</v>
      </c>
      <c r="AI6" s="13">
        <v>2</v>
      </c>
      <c r="AJ6" s="13">
        <v>1</v>
      </c>
    </row>
    <row r="7" spans="2:36" ht="15">
      <c r="B7" s="14">
        <v>5</v>
      </c>
      <c r="C7" s="60" t="s">
        <v>64</v>
      </c>
      <c r="D7" s="58">
        <v>3</v>
      </c>
      <c r="E7" s="32">
        <v>16.2</v>
      </c>
      <c r="F7" s="41"/>
      <c r="G7" s="33"/>
      <c r="H7" s="63">
        <f>IF(C7&gt;0,Квартплата*'Расчет квартплаты'!E7,"")</f>
        <v>107.892</v>
      </c>
      <c r="I7" s="63">
        <f>IF(C7&gt;0,Холвода*D7,"")</f>
        <v>321.45000000000005</v>
      </c>
      <c r="J7" s="63">
        <f>IF(C7&gt;0,Водоотв*D7,"")</f>
        <v>397.71</v>
      </c>
      <c r="K7" s="63">
        <f>IF(C7&gt;0,Горвода*D7,"")</f>
        <v>1062.9</v>
      </c>
      <c r="L7" s="63">
        <f>IF(C7&gt;0,Отоплен*E7,"")</f>
        <v>247.86</v>
      </c>
      <c r="M7" s="63">
        <f>IF(C7&gt;0,Энегр*Счетчик*D7,"")</f>
        <v>443.09999999999997</v>
      </c>
      <c r="N7" s="63">
        <f>IF(C7&gt;0,Найм*E7,"")</f>
        <v>8.1</v>
      </c>
      <c r="O7" s="63">
        <f>IF(C7&gt;0,Мусор*D7,"")</f>
        <v>123</v>
      </c>
      <c r="P7" s="64">
        <f t="shared" si="0"/>
        <v>2712.01</v>
      </c>
      <c r="AI7" s="13">
        <v>2</v>
      </c>
      <c r="AJ7" s="13">
        <v>1</v>
      </c>
    </row>
    <row r="8" spans="2:36" ht="15">
      <c r="B8" s="14">
        <v>6</v>
      </c>
      <c r="C8" s="3"/>
      <c r="D8" s="38"/>
      <c r="E8" s="32">
        <v>26.7</v>
      </c>
      <c r="F8" s="41"/>
      <c r="G8" s="33"/>
      <c r="H8" s="63">
        <f>IF(C8&gt;0,Квартплата*'Расчет квартплаты'!E8,"")</f>
      </c>
      <c r="I8" s="63">
        <f>IF(C8&gt;0,Холвода*D8,"")</f>
      </c>
      <c r="J8" s="63">
        <f>IF(C8&gt;0,Водоотв*D8,"")</f>
      </c>
      <c r="K8" s="63">
        <f>IF(C8&gt;0,Горвода*D8,"")</f>
      </c>
      <c r="L8" s="63">
        <f>IF(C8&gt;0,Отоплен*E8,"")</f>
      </c>
      <c r="M8" s="63">
        <f>IF(C8&gt;0,Энегр*Счетчик*D8,"")</f>
      </c>
      <c r="N8" s="63">
        <f>IF(C8&gt;0,Найм*E8,"")</f>
      </c>
      <c r="O8" s="63">
        <f>IF(C8&gt;0,Мусор*D8,"")</f>
      </c>
      <c r="P8" s="64">
        <f t="shared" si="0"/>
      </c>
      <c r="AI8" s="13">
        <v>2</v>
      </c>
      <c r="AJ8" s="13">
        <v>1</v>
      </c>
    </row>
    <row r="9" spans="2:36" ht="15">
      <c r="B9" s="14">
        <v>7</v>
      </c>
      <c r="C9" s="3"/>
      <c r="D9" s="38"/>
      <c r="E9" s="32">
        <v>26.4</v>
      </c>
      <c r="F9" s="41"/>
      <c r="G9" s="33"/>
      <c r="H9" s="63">
        <f>IF(C9&gt;0,Квартплата*'Расчет квартплаты'!E9,"")</f>
      </c>
      <c r="I9" s="63">
        <f>IF(C9&gt;0,Холвода*D9,"")</f>
      </c>
      <c r="J9" s="63">
        <f>IF(C9&gt;0,Водоотв*D9,"")</f>
      </c>
      <c r="K9" s="63">
        <f>IF(C9&gt;0,Горвода*D9,"")</f>
      </c>
      <c r="L9" s="63">
        <f>IF(C9&gt;0,Отоплен*E9,"")</f>
      </c>
      <c r="M9" s="63">
        <f>IF(C9&gt;0,Энегр*Счетчик*D9,"")</f>
      </c>
      <c r="N9" s="63">
        <f>IF(C9&gt;0,Найм*E9,"")</f>
      </c>
      <c r="O9" s="63">
        <f>IF(C9&gt;0,Мусор*D9,"")</f>
      </c>
      <c r="P9" s="64">
        <f t="shared" si="0"/>
      </c>
      <c r="AI9" s="13">
        <v>2</v>
      </c>
      <c r="AJ9" s="13">
        <v>1</v>
      </c>
    </row>
    <row r="10" spans="2:36" ht="15">
      <c r="B10" s="14">
        <v>8</v>
      </c>
      <c r="C10" s="3"/>
      <c r="D10" s="38"/>
      <c r="E10" s="32">
        <v>29.12</v>
      </c>
      <c r="F10" s="41"/>
      <c r="G10" s="33"/>
      <c r="H10" s="63">
        <f>IF(C10&gt;0,Квартплата*'Расчет квартплаты'!E10,"")</f>
      </c>
      <c r="I10" s="63">
        <f>IF(C10&gt;0,Холвода*D10,"")</f>
      </c>
      <c r="J10" s="63">
        <f>IF(C10&gt;0,Водоотв*D10,"")</f>
      </c>
      <c r="K10" s="63">
        <f>IF(C10&gt;0,Горвода*D10,"")</f>
      </c>
      <c r="L10" s="63">
        <f>IF(C10&gt;0,Отоплен*E10,"")</f>
      </c>
      <c r="M10" s="63">
        <f>IF(C10&gt;0,Энегр*Счетчик*D10,"")</f>
      </c>
      <c r="N10" s="63">
        <f>IF(C10&gt;0,Найм*E10,"")</f>
      </c>
      <c r="O10" s="63">
        <f>IF(C10&gt;0,Мусор*D10,"")</f>
      </c>
      <c r="P10" s="64">
        <f t="shared" si="0"/>
      </c>
      <c r="AI10" s="13">
        <v>2</v>
      </c>
      <c r="AJ10" s="13">
        <v>1</v>
      </c>
    </row>
    <row r="11" spans="2:36" ht="15">
      <c r="B11" s="14">
        <v>9</v>
      </c>
      <c r="C11" s="3"/>
      <c r="D11" s="38"/>
      <c r="E11" s="32">
        <v>30.3</v>
      </c>
      <c r="F11" s="41"/>
      <c r="G11" s="33"/>
      <c r="H11" s="63">
        <f>IF(C11&gt;0,Квартплата*'Расчет квартплаты'!E11,"")</f>
      </c>
      <c r="I11" s="63">
        <f>IF(C11&gt;0,Холвода*D11,"")</f>
      </c>
      <c r="J11" s="63">
        <f>IF(C11&gt;0,Водоотв*D11,"")</f>
      </c>
      <c r="K11" s="63">
        <f>IF(C11&gt;0,Горвода*D11,"")</f>
      </c>
      <c r="L11" s="63">
        <f>IF(C11&gt;0,Отоплен*E11,"")</f>
      </c>
      <c r="M11" s="63">
        <f>IF(C11&gt;0,Энегр*Счетчик*D11,"")</f>
      </c>
      <c r="N11" s="63">
        <f>IF(C11&gt;0,Найм*E11,"")</f>
      </c>
      <c r="O11" s="63">
        <f>IF(C11&gt;0,Мусор*D11,"")</f>
      </c>
      <c r="P11" s="64">
        <f t="shared" si="0"/>
      </c>
      <c r="AI11" s="13">
        <v>2</v>
      </c>
      <c r="AJ11" s="13">
        <v>1</v>
      </c>
    </row>
    <row r="12" spans="2:36" ht="15">
      <c r="B12" s="14">
        <v>10</v>
      </c>
      <c r="C12" s="3"/>
      <c r="D12" s="38"/>
      <c r="E12" s="32">
        <v>32.5</v>
      </c>
      <c r="F12" s="41"/>
      <c r="G12" s="33"/>
      <c r="H12" s="63">
        <f>IF(C12&gt;0,Квартплата*'Расчет квартплаты'!E12,"")</f>
      </c>
      <c r="I12" s="63">
        <f>IF(C12&gt;0,Холвода*D12,"")</f>
      </c>
      <c r="J12" s="63">
        <f>IF(C12&gt;0,Водоотв*D12,"")</f>
      </c>
      <c r="K12" s="63">
        <f>IF(C12&gt;0,Горвода*D12,"")</f>
      </c>
      <c r="L12" s="63">
        <f>IF(C12&gt;0,Отоплен*E12,"")</f>
      </c>
      <c r="M12" s="63">
        <f>IF(C12&gt;0,Энегр*Счетчик*D12,"")</f>
      </c>
      <c r="N12" s="63">
        <f>IF(C12&gt;0,Найм*E12,"")</f>
      </c>
      <c r="O12" s="63">
        <f>IF(C12&gt;0,Мусор*D12,"")</f>
      </c>
      <c r="P12" s="64">
        <f t="shared" si="0"/>
      </c>
      <c r="AI12" s="13">
        <v>2</v>
      </c>
      <c r="AJ12" s="13">
        <v>1</v>
      </c>
    </row>
    <row r="13" spans="2:36" ht="15">
      <c r="B13" s="14">
        <v>11</v>
      </c>
      <c r="C13" s="3"/>
      <c r="D13" s="38"/>
      <c r="E13" s="32">
        <v>15.3</v>
      </c>
      <c r="F13" s="41"/>
      <c r="G13" s="33"/>
      <c r="H13" s="63">
        <f>IF(C13&gt;0,Квартплата*'Расчет квартплаты'!E13,"")</f>
      </c>
      <c r="I13" s="63">
        <f>IF(C13&gt;0,Холвода*D13,"")</f>
      </c>
      <c r="J13" s="63">
        <f>IF(C13&gt;0,Водоотв*D13,"")</f>
      </c>
      <c r="K13" s="63">
        <f>IF(C13&gt;0,Горвода*D13,"")</f>
      </c>
      <c r="L13" s="63">
        <f>IF(C13&gt;0,Отоплен*E13,"")</f>
      </c>
      <c r="M13" s="63">
        <f>IF(C13&gt;0,Энегр*Счетчик*D13,"")</f>
      </c>
      <c r="N13" s="63">
        <f>IF(C13&gt;0,Найм*E13,"")</f>
      </c>
      <c r="O13" s="63">
        <f>IF(C13&gt;0,Мусор*D13,"")</f>
      </c>
      <c r="P13" s="64">
        <f t="shared" si="0"/>
      </c>
      <c r="AI13" s="13">
        <v>2</v>
      </c>
      <c r="AJ13" s="13">
        <v>1</v>
      </c>
    </row>
    <row r="14" spans="2:36" ht="15">
      <c r="B14" s="14">
        <v>12</v>
      </c>
      <c r="C14" s="3"/>
      <c r="D14" s="38"/>
      <c r="E14" s="32">
        <v>15</v>
      </c>
      <c r="F14" s="41"/>
      <c r="G14" s="33"/>
      <c r="H14" s="63">
        <f>IF(C14&gt;0,Квартплата*'Расчет квартплаты'!E14,"")</f>
      </c>
      <c r="I14" s="63">
        <f>IF(C14&gt;0,Холвода*D14,"")</f>
      </c>
      <c r="J14" s="63">
        <f>IF(C14&gt;0,Водоотв*D14,"")</f>
      </c>
      <c r="K14" s="63">
        <f>IF(C14&gt;0,Горвода*D14,"")</f>
      </c>
      <c r="L14" s="63">
        <f>IF(C14&gt;0,Отоплен*E14,"")</f>
      </c>
      <c r="M14" s="63">
        <f>IF(C14&gt;0,Энегр*Счетчик*D14,"")</f>
      </c>
      <c r="N14" s="63">
        <f>IF(C14&gt;0,Найм*E14,"")</f>
      </c>
      <c r="O14" s="63">
        <f>IF(C14&gt;0,Мусор*D14,"")</f>
      </c>
      <c r="P14" s="64">
        <f t="shared" si="0"/>
      </c>
      <c r="AI14" s="13">
        <v>2</v>
      </c>
      <c r="AJ14" s="13">
        <v>1</v>
      </c>
    </row>
    <row r="15" spans="2:36" ht="15">
      <c r="B15" s="14">
        <v>13</v>
      </c>
      <c r="C15" s="3"/>
      <c r="D15" s="38"/>
      <c r="E15" s="32">
        <v>30.1</v>
      </c>
      <c r="F15" s="41"/>
      <c r="G15" s="33"/>
      <c r="H15" s="63">
        <f>IF(C15&gt;0,Квартплата*'Расчет квартплаты'!E15,"")</f>
      </c>
      <c r="I15" s="63">
        <f>IF(C15&gt;0,Холвода*D15,"")</f>
      </c>
      <c r="J15" s="63">
        <f>IF(C15&gt;0,Водоотв*D15,"")</f>
      </c>
      <c r="K15" s="63">
        <f>IF(C15&gt;0,Горвода*D15,"")</f>
      </c>
      <c r="L15" s="63">
        <f>IF(C15&gt;0,Отоплен*E15,"")</f>
      </c>
      <c r="M15" s="63">
        <f>IF(C15&gt;0,Энегр*Счетчик*D15,"")</f>
      </c>
      <c r="N15" s="63">
        <f>IF(C15&gt;0,Найм*E15,"")</f>
      </c>
      <c r="O15" s="63">
        <f>IF(C15&gt;0,Мусор*D15,"")</f>
      </c>
      <c r="P15" s="64">
        <f t="shared" si="0"/>
      </c>
      <c r="AI15" s="13">
        <v>2</v>
      </c>
      <c r="AJ15" s="13">
        <v>1</v>
      </c>
    </row>
    <row r="16" spans="2:36" ht="15">
      <c r="B16" s="14">
        <v>14</v>
      </c>
      <c r="C16" s="3"/>
      <c r="D16" s="38"/>
      <c r="E16" s="32">
        <v>30.5</v>
      </c>
      <c r="F16" s="41"/>
      <c r="G16" s="33"/>
      <c r="H16" s="63">
        <f>IF(C16&gt;0,Квартплата*'Расчет квартплаты'!E16,"")</f>
      </c>
      <c r="I16" s="63">
        <f>IF(C16&gt;0,Холвода*D16,"")</f>
      </c>
      <c r="J16" s="63">
        <f>IF(C16&gt;0,Водоотв*D16,"")</f>
      </c>
      <c r="K16" s="63">
        <f>IF(C16&gt;0,Горвода*D16,"")</f>
      </c>
      <c r="L16" s="63">
        <f>IF(C16&gt;0,Отоплен*E16,"")</f>
      </c>
      <c r="M16" s="63">
        <f>IF(C16&gt;0,Энегр*Счетчик*D16,"")</f>
      </c>
      <c r="N16" s="63">
        <f>IF(C16&gt;0,Найм*E16,"")</f>
      </c>
      <c r="O16" s="63">
        <f>IF(C16&gt;0,Мусор*D16,"")</f>
      </c>
      <c r="P16" s="64">
        <f t="shared" si="0"/>
      </c>
      <c r="AI16" s="13">
        <v>2</v>
      </c>
      <c r="AJ16" s="13">
        <v>1</v>
      </c>
    </row>
    <row r="17" spans="2:36" ht="15">
      <c r="B17" s="14">
        <v>15</v>
      </c>
      <c r="C17" s="3"/>
      <c r="D17" s="38"/>
      <c r="E17" s="32">
        <v>30</v>
      </c>
      <c r="F17" s="41"/>
      <c r="G17" s="33"/>
      <c r="H17" s="63">
        <f>IF(C17&gt;0,Квартплата*'Расчет квартплаты'!E17,"")</f>
      </c>
      <c r="I17" s="63">
        <f>IF(C17&gt;0,Холвода*D17,"")</f>
      </c>
      <c r="J17" s="63">
        <f>IF(C17&gt;0,Водоотв*D17,"")</f>
      </c>
      <c r="K17" s="63">
        <f>IF(C17&gt;0,Горвода*D17,"")</f>
      </c>
      <c r="L17" s="63">
        <f>IF(C17&gt;0,Отоплен*E17,"")</f>
      </c>
      <c r="M17" s="63">
        <f>IF(C17&gt;0,Энегр*Счетчик*D17,"")</f>
      </c>
      <c r="N17" s="63">
        <f>IF(C17&gt;0,Найм*E17,"")</f>
      </c>
      <c r="O17" s="63">
        <f>IF(C17&gt;0,Мусор*D17,"")</f>
      </c>
      <c r="P17" s="64">
        <f t="shared" si="0"/>
      </c>
      <c r="AI17" s="13">
        <v>2</v>
      </c>
      <c r="AJ17" s="13">
        <v>1</v>
      </c>
    </row>
    <row r="18" spans="2:36" ht="15">
      <c r="B18" s="14">
        <v>16</v>
      </c>
      <c r="C18" s="3"/>
      <c r="D18" s="38"/>
      <c r="E18" s="32">
        <v>32.7</v>
      </c>
      <c r="F18" s="41"/>
      <c r="G18" s="33"/>
      <c r="H18" s="63">
        <f>IF(C18&gt;0,Квартплата*'Расчет квартплаты'!E18,"")</f>
      </c>
      <c r="I18" s="63">
        <f>IF(C18&gt;0,Холвода*D18,"")</f>
      </c>
      <c r="J18" s="63">
        <f>IF(C18&gt;0,Водоотв*D18,"")</f>
      </c>
      <c r="K18" s="63">
        <f>IF(C18&gt;0,Горвода*D18,"")</f>
      </c>
      <c r="L18" s="63">
        <f>IF(C18&gt;0,Отоплен*E18,"")</f>
      </c>
      <c r="M18" s="63">
        <f>IF(C18&gt;0,Энегр*Счетчик*D18,"")</f>
      </c>
      <c r="N18" s="63">
        <f>IF(C18&gt;0,Найм*E18,"")</f>
      </c>
      <c r="O18" s="63">
        <f>IF(C18&gt;0,Мусор*D18,"")</f>
      </c>
      <c r="P18" s="64">
        <f t="shared" si="0"/>
      </c>
      <c r="AI18" s="13">
        <v>2</v>
      </c>
      <c r="AJ18" s="13">
        <v>1</v>
      </c>
    </row>
    <row r="19" spans="2:36" ht="15">
      <c r="B19" s="14">
        <v>17</v>
      </c>
      <c r="C19" s="3"/>
      <c r="D19" s="38"/>
      <c r="E19" s="32">
        <v>16.1</v>
      </c>
      <c r="F19" s="41"/>
      <c r="G19" s="33"/>
      <c r="H19" s="63">
        <f>IF(C19&gt;0,Квартплата*'Расчет квартплаты'!E19,"")</f>
      </c>
      <c r="I19" s="63">
        <f>IF(C19&gt;0,Холвода*D19,"")</f>
      </c>
      <c r="J19" s="63">
        <f>IF(C19&gt;0,Водоотв*D19,"")</f>
      </c>
      <c r="K19" s="63">
        <f>IF(C19&gt;0,Горвода*D19,"")</f>
      </c>
      <c r="L19" s="63">
        <f>IF(C19&gt;0,Отоплен*E19,"")</f>
      </c>
      <c r="M19" s="63">
        <f>IF(C19&gt;0,Энегр*Счетчик*D19,"")</f>
      </c>
      <c r="N19" s="63">
        <f>IF(C19&gt;0,Найм*E19,"")</f>
      </c>
      <c r="O19" s="63">
        <f>IF(C19&gt;0,Мусор*D19,"")</f>
      </c>
      <c r="P19" s="64">
        <f t="shared" si="0"/>
      </c>
      <c r="AI19" s="13">
        <v>2</v>
      </c>
      <c r="AJ19" s="13">
        <v>1</v>
      </c>
    </row>
    <row r="20" spans="2:36" ht="15">
      <c r="B20" s="14">
        <v>18</v>
      </c>
      <c r="C20" s="3"/>
      <c r="D20" s="38"/>
      <c r="E20" s="32">
        <v>28.2</v>
      </c>
      <c r="F20" s="41"/>
      <c r="G20" s="33"/>
      <c r="H20" s="63">
        <f>IF(C20&gt;0,Квартплата*'Расчет квартплаты'!E20,"")</f>
      </c>
      <c r="I20" s="63">
        <f>IF(C20&gt;0,Холвода*D20,"")</f>
      </c>
      <c r="J20" s="63">
        <f>IF(C20&gt;0,Водоотв*D20,"")</f>
      </c>
      <c r="K20" s="63">
        <f>IF(C20&gt;0,Горвода*D20,"")</f>
      </c>
      <c r="L20" s="63">
        <f>IF(C20&gt;0,Отоплен*E20,"")</f>
      </c>
      <c r="M20" s="63">
        <f>IF(C20&gt;0,Энегр*Счетчик*D20,"")</f>
      </c>
      <c r="N20" s="63">
        <f>IF(C20&gt;0,Найм*E20,"")</f>
      </c>
      <c r="O20" s="63">
        <f>IF(C20&gt;0,Мусор*D20,"")</f>
      </c>
      <c r="P20" s="64">
        <f t="shared" si="0"/>
      </c>
      <c r="AI20" s="13">
        <v>2</v>
      </c>
      <c r="AJ20" s="13">
        <v>1</v>
      </c>
    </row>
    <row r="21" spans="2:36" ht="15">
      <c r="B21" s="14">
        <v>19</v>
      </c>
      <c r="C21" s="3"/>
      <c r="D21" s="38"/>
      <c r="E21" s="32">
        <v>27.7</v>
      </c>
      <c r="F21" s="41"/>
      <c r="G21" s="33"/>
      <c r="H21" s="63">
        <f>IF(C21&gt;0,Квартплата*'Расчет квартплаты'!E21,"")</f>
      </c>
      <c r="I21" s="63">
        <f>IF(C21&gt;0,Холвода*D21,"")</f>
      </c>
      <c r="J21" s="63">
        <f>IF(C21&gt;0,Водоотв*D21,"")</f>
      </c>
      <c r="K21" s="63">
        <f>IF(C21&gt;0,Горвода*D21,"")</f>
      </c>
      <c r="L21" s="63">
        <f>IF(C21&gt;0,Отоплен*E21,"")</f>
      </c>
      <c r="M21" s="63">
        <f>IF(C21&gt;0,Энегр*Счетчик*D21,"")</f>
      </c>
      <c r="N21" s="63">
        <f>IF(C21&gt;0,Найм*E21,"")</f>
      </c>
      <c r="O21" s="63">
        <f>IF(C21&gt;0,Мусор*D21,"")</f>
      </c>
      <c r="P21" s="64">
        <f t="shared" si="0"/>
      </c>
      <c r="AI21" s="13">
        <v>2</v>
      </c>
      <c r="AJ21" s="13">
        <v>1</v>
      </c>
    </row>
    <row r="22" spans="2:36" ht="15">
      <c r="B22" s="14">
        <v>20</v>
      </c>
      <c r="C22" s="3"/>
      <c r="D22" s="38"/>
      <c r="E22" s="32">
        <v>28.1</v>
      </c>
      <c r="F22" s="41"/>
      <c r="G22" s="33"/>
      <c r="H22" s="63">
        <f>IF(C22&gt;0,Квартплата*'Расчет квартплаты'!E22,"")</f>
      </c>
      <c r="I22" s="63">
        <f>IF(C22&gt;0,Холвода*D22,"")</f>
      </c>
      <c r="J22" s="63">
        <f>IF(C22&gt;0,Водоотв*D22,"")</f>
      </c>
      <c r="K22" s="63">
        <f>IF(C22&gt;0,Горвода*D22,"")</f>
      </c>
      <c r="L22" s="63">
        <f>IF(C22&gt;0,Отоплен*E22,"")</f>
      </c>
      <c r="M22" s="63">
        <f>IF(C22&gt;0,Энегр*Счетчик*D22,"")</f>
      </c>
      <c r="N22" s="63">
        <f>IF(C22&gt;0,Найм*E22,"")</f>
      </c>
      <c r="O22" s="63">
        <f>IF(C22&gt;0,Мусор*D22,"")</f>
      </c>
      <c r="P22" s="64">
        <f t="shared" si="0"/>
      </c>
      <c r="AI22" s="13">
        <v>2</v>
      </c>
      <c r="AJ22" s="13">
        <v>1</v>
      </c>
    </row>
    <row r="23" spans="2:36" ht="15">
      <c r="B23" s="14">
        <v>21</v>
      </c>
      <c r="C23" s="3"/>
      <c r="D23" s="38"/>
      <c r="E23" s="32">
        <v>28.5</v>
      </c>
      <c r="F23" s="41"/>
      <c r="G23" s="33"/>
      <c r="H23" s="63">
        <f>IF(C23&gt;0,Квартплата*'Расчет квартплаты'!E23,"")</f>
      </c>
      <c r="I23" s="63">
        <f>IF(C23&gt;0,Холвода*D23,"")</f>
      </c>
      <c r="J23" s="63">
        <f>IF(C23&gt;0,Водоотв*D23,"")</f>
      </c>
      <c r="K23" s="63">
        <f>IF(C23&gt;0,Горвода*D23,"")</f>
      </c>
      <c r="L23" s="63">
        <f>IF(C23&gt;0,Отоплен*E23,"")</f>
      </c>
      <c r="M23" s="63">
        <f>IF(C23&gt;0,Энегр*Счетчик*D23,"")</f>
      </c>
      <c r="N23" s="63">
        <f>IF(C23&gt;0,Найм*E23,"")</f>
      </c>
      <c r="O23" s="63">
        <f>IF(C23&gt;0,Мусор*D23,"")</f>
      </c>
      <c r="P23" s="64">
        <f t="shared" si="0"/>
      </c>
      <c r="AI23" s="13">
        <v>2</v>
      </c>
      <c r="AJ23" s="13">
        <v>1</v>
      </c>
    </row>
    <row r="24" spans="2:36" ht="15">
      <c r="B24" s="14">
        <v>22</v>
      </c>
      <c r="C24" s="3"/>
      <c r="D24" s="38"/>
      <c r="E24" s="32">
        <v>29.3</v>
      </c>
      <c r="F24" s="41"/>
      <c r="G24" s="33"/>
      <c r="H24" s="63">
        <f>IF(C24&gt;0,Квартплата*'Расчет квартплаты'!E24,"")</f>
      </c>
      <c r="I24" s="63">
        <f>IF(C24&gt;0,Холвода*D24,"")</f>
      </c>
      <c r="J24" s="63">
        <f>IF(C24&gt;0,Водоотв*D24,"")</f>
      </c>
      <c r="K24" s="63">
        <f>IF(C24&gt;0,Горвода*D24,"")</f>
      </c>
      <c r="L24" s="63">
        <f>IF(C24&gt;0,Отоплен*E24,"")</f>
      </c>
      <c r="M24" s="63">
        <f>IF(C24&gt;0,Энегр*Счетчик*D24,"")</f>
      </c>
      <c r="N24" s="63">
        <f>IF(C24&gt;0,Найм*E24,"")</f>
      </c>
      <c r="O24" s="63">
        <f>IF(C24&gt;0,Мусор*D24,"")</f>
      </c>
      <c r="P24" s="64">
        <f t="shared" si="0"/>
      </c>
      <c r="AI24" s="13">
        <v>2</v>
      </c>
      <c r="AJ24" s="13">
        <v>1</v>
      </c>
    </row>
    <row r="25" spans="2:36" ht="15">
      <c r="B25" s="14">
        <v>23</v>
      </c>
      <c r="C25" s="3"/>
      <c r="D25" s="38"/>
      <c r="E25" s="32">
        <v>27.8</v>
      </c>
      <c r="F25" s="41"/>
      <c r="G25" s="33"/>
      <c r="H25" s="63">
        <f>IF(C25&gt;0,Квартплата*'Расчет квартплаты'!E25,"")</f>
      </c>
      <c r="I25" s="63">
        <f>IF(C25&gt;0,Холвода*D25,"")</f>
      </c>
      <c r="J25" s="63">
        <f>IF(C25&gt;0,Водоотв*D25,"")</f>
      </c>
      <c r="K25" s="63">
        <f>IF(C25&gt;0,Горвода*D25,"")</f>
      </c>
      <c r="L25" s="63">
        <f>IF(C25&gt;0,Отоплен*E25,"")</f>
      </c>
      <c r="M25" s="63">
        <f>IF(C25&gt;0,Энегр*Счетчик*D25,"")</f>
      </c>
      <c r="N25" s="63">
        <f>IF(C25&gt;0,Найм*E25,"")</f>
      </c>
      <c r="O25" s="63">
        <f>IF(C25&gt;0,Мусор*D25,"")</f>
      </c>
      <c r="P25" s="64">
        <f t="shared" si="0"/>
      </c>
      <c r="AI25" s="13">
        <v>2</v>
      </c>
      <c r="AJ25" s="13">
        <v>1</v>
      </c>
    </row>
    <row r="26" spans="2:36" ht="15">
      <c r="B26" s="14">
        <v>24</v>
      </c>
      <c r="C26" s="3"/>
      <c r="D26" s="38"/>
      <c r="E26" s="32">
        <v>30.2</v>
      </c>
      <c r="F26" s="41"/>
      <c r="G26" s="33"/>
      <c r="H26" s="63">
        <f>IF(C26&gt;0,Квартплата*'Расчет квартплаты'!E26,"")</f>
      </c>
      <c r="I26" s="63">
        <f>IF(C26&gt;0,Холвода*D26,"")</f>
      </c>
      <c r="J26" s="63">
        <f>IF(C26&gt;0,Водоотв*D26,"")</f>
      </c>
      <c r="K26" s="63">
        <f>IF(C26&gt;0,Горвода*D26,"")</f>
      </c>
      <c r="L26" s="63">
        <f>IF(C26&gt;0,Отоплен*E26,"")</f>
      </c>
      <c r="M26" s="63">
        <f>IF(C26&gt;0,Энегр*Счетчик*D26,"")</f>
      </c>
      <c r="N26" s="63">
        <f>IF(C26&gt;0,Найм*E26,"")</f>
      </c>
      <c r="O26" s="63">
        <f>IF(C26&gt;0,Мусор*D26,"")</f>
      </c>
      <c r="P26" s="64">
        <f t="shared" si="0"/>
      </c>
      <c r="AI26" s="13">
        <v>2</v>
      </c>
      <c r="AJ26" s="13">
        <v>1</v>
      </c>
    </row>
    <row r="27" spans="2:36" ht="15">
      <c r="B27" s="14">
        <v>25</v>
      </c>
      <c r="C27" s="3"/>
      <c r="D27" s="38"/>
      <c r="E27" s="32">
        <v>29.7</v>
      </c>
      <c r="F27" s="41"/>
      <c r="G27" s="33"/>
      <c r="H27" s="63">
        <f>IF(C27&gt;0,Квартплата*'Расчет квартплаты'!E27,"")</f>
      </c>
      <c r="I27" s="63">
        <f>IF(C27&gt;0,Холвода*D27,"")</f>
      </c>
      <c r="J27" s="63">
        <f>IF(C27&gt;0,Водоотв*D27,"")</f>
      </c>
      <c r="K27" s="63">
        <f>IF(C27&gt;0,Горвода*D27,"")</f>
      </c>
      <c r="L27" s="63">
        <f>IF(C27&gt;0,Отоплен*E27,"")</f>
      </c>
      <c r="M27" s="63">
        <f>IF(C27&gt;0,Энегр*Счетчик*D27,"")</f>
      </c>
      <c r="N27" s="63">
        <f>IF(C27&gt;0,Найм*E27,"")</f>
      </c>
      <c r="O27" s="63">
        <f>IF(C27&gt;0,Мусор*D27,"")</f>
      </c>
      <c r="P27" s="64">
        <f t="shared" si="0"/>
      </c>
      <c r="AI27" s="13">
        <v>2</v>
      </c>
      <c r="AJ27" s="13">
        <v>1</v>
      </c>
    </row>
    <row r="28" spans="2:36" ht="15">
      <c r="B28" s="14">
        <v>26</v>
      </c>
      <c r="C28" s="3"/>
      <c r="D28" s="38"/>
      <c r="E28" s="32">
        <v>31.1</v>
      </c>
      <c r="F28" s="41"/>
      <c r="G28" s="33"/>
      <c r="H28" s="63">
        <f>IF(C28&gt;0,Квартплата*'Расчет квартплаты'!E28,"")</f>
      </c>
      <c r="I28" s="63">
        <f>IF(C28&gt;0,Холвода*D28,"")</f>
      </c>
      <c r="J28" s="63">
        <f>IF(C28&gt;0,Водоотв*D28,"")</f>
      </c>
      <c r="K28" s="63">
        <f>IF(C28&gt;0,Горвода*D28,"")</f>
      </c>
      <c r="L28" s="63">
        <f>IF(C28&gt;0,Отоплен*E28,"")</f>
      </c>
      <c r="M28" s="63">
        <f>IF(C28&gt;0,Энегр*Счетчик*D28,"")</f>
      </c>
      <c r="N28" s="63">
        <f>IF(C28&gt;0,Найм*E28,"")</f>
      </c>
      <c r="O28" s="63">
        <f>IF(C28&gt;0,Мусор*D28,"")</f>
      </c>
      <c r="P28" s="64">
        <f t="shared" si="0"/>
      </c>
      <c r="AI28" s="13">
        <v>2</v>
      </c>
      <c r="AJ28" s="13">
        <v>1</v>
      </c>
    </row>
    <row r="29" spans="2:36" ht="15">
      <c r="B29" s="14">
        <v>27</v>
      </c>
      <c r="C29" s="3"/>
      <c r="D29" s="38"/>
      <c r="E29" s="32">
        <v>30.9</v>
      </c>
      <c r="F29" s="41"/>
      <c r="G29" s="33"/>
      <c r="H29" s="63">
        <f>IF(C29&gt;0,Квартплата*'Расчет квартплаты'!E29,"")</f>
      </c>
      <c r="I29" s="63">
        <f>IF(C29&gt;0,Холвода*D29,"")</f>
      </c>
      <c r="J29" s="63">
        <f>IF(C29&gt;0,Водоотв*D29,"")</f>
      </c>
      <c r="K29" s="63">
        <f>IF(C29&gt;0,Горвода*D29,"")</f>
      </c>
      <c r="L29" s="63">
        <f>IF(C29&gt;0,Отоплен*E29,"")</f>
      </c>
      <c r="M29" s="63">
        <f>IF(C29&gt;0,Энегр*Счетчик*D29,"")</f>
      </c>
      <c r="N29" s="63">
        <f>IF(C29&gt;0,Найм*E29,"")</f>
      </c>
      <c r="O29" s="63">
        <f>IF(C29&gt;0,Мусор*D29,"")</f>
      </c>
      <c r="P29" s="64">
        <f t="shared" si="0"/>
      </c>
      <c r="AI29" s="13">
        <v>2</v>
      </c>
      <c r="AJ29" s="13">
        <v>1</v>
      </c>
    </row>
    <row r="30" spans="2:36" ht="15">
      <c r="B30" s="14">
        <v>28</v>
      </c>
      <c r="C30" s="3"/>
      <c r="D30" s="38"/>
      <c r="E30" s="32">
        <v>27.19</v>
      </c>
      <c r="F30" s="41"/>
      <c r="G30" s="33"/>
      <c r="H30" s="63">
        <f>IF(C30&gt;0,Квартплата*'Расчет квартплаты'!E30,"")</f>
      </c>
      <c r="I30" s="63">
        <f>IF(C30&gt;0,Холвода*D30,"")</f>
      </c>
      <c r="J30" s="63">
        <f>IF(C30&gt;0,Водоотв*D30,"")</f>
      </c>
      <c r="K30" s="63">
        <f>IF(C30&gt;0,Горвода*D30,"")</f>
      </c>
      <c r="L30" s="63">
        <f>IF(C30&gt;0,Отоплен*E30,"")</f>
      </c>
      <c r="M30" s="63">
        <f>IF(C30&gt;0,Энегр*Счетчик*D30,"")</f>
      </c>
      <c r="N30" s="63">
        <f>IF(C30&gt;0,Найм*E30,"")</f>
      </c>
      <c r="O30" s="63">
        <f>IF(C30&gt;0,Мусор*D30,"")</f>
      </c>
      <c r="P30" s="64">
        <f t="shared" si="0"/>
      </c>
      <c r="AI30" s="13">
        <v>2</v>
      </c>
      <c r="AJ30" s="13">
        <v>1</v>
      </c>
    </row>
    <row r="31" spans="2:36" ht="15">
      <c r="B31" s="14">
        <v>29</v>
      </c>
      <c r="C31" s="3"/>
      <c r="D31" s="38"/>
      <c r="E31" s="32">
        <v>31.4</v>
      </c>
      <c r="F31" s="41"/>
      <c r="G31" s="33"/>
      <c r="H31" s="63">
        <f>IF(C31&gt;0,Квартплата*'Расчет квартплаты'!E31,"")</f>
      </c>
      <c r="I31" s="63">
        <f>IF(C31&gt;0,Холвода*D31,"")</f>
      </c>
      <c r="J31" s="63">
        <f>IF(C31&gt;0,Водоотв*D31,"")</f>
      </c>
      <c r="K31" s="63">
        <f>IF(C31&gt;0,Горвода*D31,"")</f>
      </c>
      <c r="L31" s="63">
        <f>IF(C31&gt;0,Отоплен*E31,"")</f>
      </c>
      <c r="M31" s="63">
        <f>IF(C31&gt;0,Энегр*Счетчик*D31,"")</f>
      </c>
      <c r="N31" s="63">
        <f>IF(C31&gt;0,Найм*E31,"")</f>
      </c>
      <c r="O31" s="63">
        <f>IF(C31&gt;0,Мусор*D31,"")</f>
      </c>
      <c r="P31" s="64">
        <f t="shared" si="0"/>
      </c>
      <c r="AI31" s="13">
        <v>2</v>
      </c>
      <c r="AJ31" s="13">
        <v>1</v>
      </c>
    </row>
    <row r="32" spans="2:36" ht="15">
      <c r="B32" s="14">
        <v>30</v>
      </c>
      <c r="C32" s="3"/>
      <c r="D32" s="38"/>
      <c r="E32" s="32">
        <v>29.4</v>
      </c>
      <c r="F32" s="41"/>
      <c r="G32" s="33"/>
      <c r="H32" s="63">
        <f>IF(C32&gt;0,Квартплата*'Расчет квартплаты'!E32,"")</f>
      </c>
      <c r="I32" s="63">
        <f>IF(C32&gt;0,Холвода*D32,"")</f>
      </c>
      <c r="J32" s="63">
        <f>IF(C32&gt;0,Водоотв*D32,"")</f>
      </c>
      <c r="K32" s="63">
        <f>IF(C32&gt;0,Горвода*D32,"")</f>
      </c>
      <c r="L32" s="63">
        <f>IF(C32&gt;0,Отоплен*E32,"")</f>
      </c>
      <c r="M32" s="63">
        <f>IF(C32&gt;0,Энегр*Счетчик*D32,"")</f>
      </c>
      <c r="N32" s="63">
        <f>IF(C32&gt;0,Найм*E32,"")</f>
      </c>
      <c r="O32" s="63">
        <f>IF(C32&gt;0,Мусор*D32,"")</f>
      </c>
      <c r="P32" s="64">
        <f t="shared" si="0"/>
      </c>
      <c r="AI32" s="13">
        <v>2</v>
      </c>
      <c r="AJ32" s="13">
        <v>1</v>
      </c>
    </row>
    <row r="33" spans="2:36" ht="15">
      <c r="B33" s="14">
        <v>31</v>
      </c>
      <c r="C33" s="3"/>
      <c r="D33" s="38"/>
      <c r="E33" s="32">
        <v>28.4</v>
      </c>
      <c r="F33" s="41"/>
      <c r="G33" s="33"/>
      <c r="H33" s="63">
        <f>IF(C33&gt;0,Квартплата*'Расчет квартплаты'!E33,"")</f>
      </c>
      <c r="I33" s="63">
        <f>IF(C33&gt;0,Холвода*D33,"")</f>
      </c>
      <c r="J33" s="63">
        <f>IF(C33&gt;0,Водоотв*D33,"")</f>
      </c>
      <c r="K33" s="63">
        <f>IF(C33&gt;0,Горвода*D33,"")</f>
      </c>
      <c r="L33" s="63">
        <f>IF(C33&gt;0,Отоплен*E33,"")</f>
      </c>
      <c r="M33" s="63">
        <f>IF(C33&gt;0,Энегр*Счетчик*D33,"")</f>
      </c>
      <c r="N33" s="63">
        <f>IF(C33&gt;0,Найм*E33,"")</f>
      </c>
      <c r="O33" s="63">
        <f>IF(C33&gt;0,Мусор*D33,"")</f>
      </c>
      <c r="P33" s="64">
        <f t="shared" si="0"/>
      </c>
      <c r="AI33" s="13">
        <v>2</v>
      </c>
      <c r="AJ33" s="13">
        <v>1</v>
      </c>
    </row>
    <row r="34" spans="2:16" ht="15">
      <c r="B34" s="14"/>
      <c r="C34" s="53"/>
      <c r="D34" s="39"/>
      <c r="E34" s="54"/>
      <c r="F34" s="55"/>
      <c r="G34" s="54"/>
      <c r="H34" s="63">
        <f>IF(C34&gt;0,Квартплата*'Расчет квартплаты'!E34,"")</f>
      </c>
      <c r="I34" s="63">
        <f>IF(C34&gt;0,Холвода*D34,"")</f>
      </c>
      <c r="J34" s="63">
        <f>IF(C34&gt;0,Водоотв*D34,"")</f>
      </c>
      <c r="K34" s="63">
        <f>IF(C34&gt;0,Горвода*D34,"")</f>
      </c>
      <c r="L34" s="63">
        <f>IF(C34&gt;0,Отоплен*E34,"")</f>
      </c>
      <c r="M34" s="63">
        <f>IF(C34&gt;0,Энегр*Счетчик*D34,"")</f>
      </c>
      <c r="N34" s="63">
        <f>IF(C34&gt;0,Найм*E34,"")</f>
      </c>
      <c r="O34" s="63">
        <f>IF(C34&gt;0,Мусор*D34,"")</f>
      </c>
      <c r="P34" s="64">
        <f t="shared" si="0"/>
      </c>
    </row>
    <row r="36" spans="8:16" ht="15">
      <c r="H36" s="56" t="e">
        <f>SUM(H3:H35)</f>
        <v>#REF!</v>
      </c>
      <c r="I36" s="56">
        <f aca="true" t="shared" si="1" ref="I36:O36">SUM(I3:I35)</f>
        <v>1607.2500000000002</v>
      </c>
      <c r="J36" s="56">
        <f t="shared" si="1"/>
        <v>1988.55</v>
      </c>
      <c r="K36" s="56">
        <f t="shared" si="1"/>
        <v>5314.5</v>
      </c>
      <c r="L36" s="56">
        <f t="shared" si="1"/>
        <v>2079.27</v>
      </c>
      <c r="M36" s="56">
        <f t="shared" si="1"/>
        <v>2215.5</v>
      </c>
      <c r="N36" s="56">
        <f t="shared" si="1"/>
        <v>67.94999999999999</v>
      </c>
      <c r="O36" s="56">
        <f t="shared" si="1"/>
        <v>615</v>
      </c>
      <c r="P36" s="57" t="e">
        <f>SUM(P3:P34)</f>
        <v>#REF!</v>
      </c>
    </row>
  </sheetData>
  <sheetProtection formatCells="0" formatColumns="0" formatRows="0" insertColumns="0" insertRows="0" insertHyperlinks="0" deleteColumns="0" deleteRows="0"/>
  <autoFilter ref="B1:C34"/>
  <mergeCells count="9">
    <mergeCell ref="C1:C2"/>
    <mergeCell ref="B1:B2"/>
    <mergeCell ref="P1:P2"/>
    <mergeCell ref="AI1:AI2"/>
    <mergeCell ref="AJ1:AJ2"/>
    <mergeCell ref="E1:E2"/>
    <mergeCell ref="D1:D2"/>
    <mergeCell ref="F1:F2"/>
    <mergeCell ref="G1:G2"/>
  </mergeCells>
  <conditionalFormatting sqref="B3:P34">
    <cfRule type="expression" priority="1" dxfId="0" stopIfTrue="1">
      <formula>MOD(ROW(B3),3)=0</formula>
    </cfRule>
  </conditionalFormatting>
  <dataValidations count="4">
    <dataValidation allowBlank="1" showInputMessage="1" showErrorMessage="1" promptTitle="        ALARM!!!!" prompt="Программой не предусмотрен ввод в данную ячейку какой либо информации. Вся необходимая информация выводится автоматически!!!!!!" sqref="C34 E34 H3:P34"/>
    <dataValidation type="decimal" allowBlank="1" showInputMessage="1" showErrorMessage="1" sqref="E5:E33">
      <formula1>5</formula1>
      <formula2>40.5</formula2>
    </dataValidation>
    <dataValidation type="decimal" allowBlank="1" showInputMessage="1" showErrorMessage="1" sqref="E3:E4">
      <formula1>5</formula1>
      <formula2>30.5</formula2>
    </dataValidation>
    <dataValidation type="whole" allowBlank="1" showInputMessage="1" showErrorMessage="1" error="Неправильно введено количество проживающих,&#10;Проживающих на данной площади не может быть такое количество человек" sqref="D3:D34">
      <formula1>1</formula1>
      <formula2>6</formula2>
    </dataValidation>
  </dataValidations>
  <printOptions/>
  <pageMargins left="0" right="0" top="0.5905511811023623" bottom="0" header="0" footer="0"/>
  <pageSetup fitToHeight="0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6"/>
  <sheetViews>
    <sheetView workbookViewId="0" topLeftCell="A1">
      <selection activeCell="L3" sqref="L3"/>
    </sheetView>
  </sheetViews>
  <sheetFormatPr defaultColWidth="9.140625" defaultRowHeight="15"/>
  <cols>
    <col min="1" max="1" width="16.28125" style="24" customWidth="1"/>
    <col min="2" max="2" width="9.140625" style="24" customWidth="1"/>
    <col min="3" max="3" width="11.140625" style="24" bestFit="1" customWidth="1"/>
    <col min="4" max="4" width="8.28125" style="24" customWidth="1"/>
    <col min="5" max="5" width="9.140625" style="24" customWidth="1"/>
    <col min="6" max="6" width="13.7109375" style="24" customWidth="1"/>
    <col min="7" max="16384" width="9.140625" style="24" customWidth="1"/>
  </cols>
  <sheetData>
    <row r="1" spans="1:7" ht="15">
      <c r="A1" s="14"/>
      <c r="B1" s="14"/>
      <c r="C1" s="14"/>
      <c r="D1" s="14"/>
      <c r="E1" s="14"/>
      <c r="F1" s="18"/>
      <c r="G1" s="14"/>
    </row>
    <row r="2" spans="1:7" ht="15">
      <c r="A2" s="14" t="s">
        <v>49</v>
      </c>
      <c r="B2" s="15">
        <f>VLOOKUP("+",БазаДанных,35,FALSE)</f>
        <v>2</v>
      </c>
      <c r="C2" s="14"/>
      <c r="D2" s="14"/>
      <c r="E2" s="14"/>
      <c r="F2" s="14"/>
      <c r="G2" s="14"/>
    </row>
    <row r="3" spans="1:7" ht="15">
      <c r="A3" s="16" t="s">
        <v>56</v>
      </c>
      <c r="B3" s="15">
        <f>VLOOKUP("+",БазаДанных,36,FALSE)</f>
        <v>1</v>
      </c>
      <c r="C3" s="17"/>
      <c r="D3" s="44" t="str">
        <f>VLOOKUP("+",БазаДанных,3,FALSE)</f>
        <v>Иванов Иван Иванович</v>
      </c>
      <c r="E3" s="44"/>
      <c r="F3" s="44"/>
      <c r="G3" s="14"/>
    </row>
    <row r="4" spans="1:7" ht="15">
      <c r="A4" s="17" t="s">
        <v>50</v>
      </c>
      <c r="B4" s="15">
        <f>VLOOKUP("+",БазаДанных,2,FALSE)</f>
        <v>1</v>
      </c>
      <c r="C4" s="14"/>
      <c r="D4" s="14"/>
      <c r="E4" s="14"/>
      <c r="F4" s="14"/>
      <c r="G4" s="14"/>
    </row>
    <row r="5" spans="1:7" ht="15">
      <c r="A5" s="14"/>
      <c r="B5" s="14"/>
      <c r="C5" s="14"/>
      <c r="D5" s="14"/>
      <c r="E5" s="14"/>
      <c r="F5" s="18"/>
      <c r="G5" s="14"/>
    </row>
    <row r="6" spans="1:7" s="25" customFormat="1" ht="15.75" customHeight="1">
      <c r="A6" s="19" t="s">
        <v>6</v>
      </c>
      <c r="B6" s="17"/>
      <c r="C6" s="20">
        <f>Квартплата</f>
        <v>6.66</v>
      </c>
      <c r="D6" s="21" t="s">
        <v>57</v>
      </c>
      <c r="E6" s="17">
        <f>VLOOKUP("+",БазаДанных,5,FALSE)</f>
        <v>28.4</v>
      </c>
      <c r="F6" s="22" t="e">
        <f>VLOOKUP("+",БазаДанных,8,FALSE)</f>
        <v>#REF!</v>
      </c>
      <c r="G6" s="17"/>
    </row>
    <row r="7" spans="1:7" s="25" customFormat="1" ht="15.75" customHeight="1">
      <c r="A7" s="19" t="s">
        <v>7</v>
      </c>
      <c r="B7" s="17"/>
      <c r="C7" s="20">
        <f>Холвода</f>
        <v>107.15</v>
      </c>
      <c r="D7" s="21" t="s">
        <v>57</v>
      </c>
      <c r="E7" s="17">
        <f>VLOOKUP("+",БазаДанных,4,FALSE)</f>
        <v>3</v>
      </c>
      <c r="F7" s="22">
        <f>VLOOKUP("+",БазаДанных,9,FALSE)</f>
        <v>321.45000000000005</v>
      </c>
      <c r="G7" s="17"/>
    </row>
    <row r="8" spans="1:7" s="25" customFormat="1" ht="15.75" customHeight="1">
      <c r="A8" s="19" t="s">
        <v>8</v>
      </c>
      <c r="B8" s="17"/>
      <c r="C8" s="20">
        <f>Водоотв</f>
        <v>132.57</v>
      </c>
      <c r="D8" s="21" t="s">
        <v>57</v>
      </c>
      <c r="E8" s="17">
        <f>VLOOKUP("+",БазаДанных,4,FALSE)</f>
        <v>3</v>
      </c>
      <c r="F8" s="22">
        <f>VLOOKUP("+",БазаДанных,10,FALSE)</f>
        <v>397.71</v>
      </c>
      <c r="G8" s="17"/>
    </row>
    <row r="9" spans="1:7" s="25" customFormat="1" ht="15.75" customHeight="1">
      <c r="A9" s="19" t="s">
        <v>9</v>
      </c>
      <c r="B9" s="17"/>
      <c r="C9" s="20">
        <f>Горвода</f>
        <v>354.3</v>
      </c>
      <c r="D9" s="21" t="s">
        <v>57</v>
      </c>
      <c r="E9" s="17">
        <f>VLOOKUP("+",БазаДанных,4,FALSE)</f>
        <v>3</v>
      </c>
      <c r="F9" s="22">
        <f>VLOOKUP("+",БазаДанных,11,FALSE)</f>
        <v>1062.9</v>
      </c>
      <c r="G9" s="17"/>
    </row>
    <row r="10" spans="1:7" s="25" customFormat="1" ht="15.75" customHeight="1">
      <c r="A10" s="19" t="s">
        <v>10</v>
      </c>
      <c r="B10" s="17"/>
      <c r="C10" s="20">
        <f>Отоплен</f>
        <v>15.3</v>
      </c>
      <c r="D10" s="21" t="s">
        <v>57</v>
      </c>
      <c r="E10" s="17">
        <f>VLOOKUP("+",БазаДанных,5,FALSE)</f>
        <v>28.4</v>
      </c>
      <c r="F10" s="22">
        <f>VLOOKUP("+",БазаДанных,12,FALSE)</f>
        <v>434.52</v>
      </c>
      <c r="G10" s="17"/>
    </row>
    <row r="11" spans="1:7" s="25" customFormat="1" ht="15.75" customHeight="1">
      <c r="A11" s="19" t="s">
        <v>11</v>
      </c>
      <c r="B11" s="17"/>
      <c r="C11" s="20">
        <f>Энегр</f>
        <v>2.11</v>
      </c>
      <c r="D11" s="21" t="s">
        <v>57</v>
      </c>
      <c r="E11" s="17">
        <f>Общежитие_1!G2*Бланк!E7</f>
        <v>210</v>
      </c>
      <c r="F11" s="22">
        <f>VLOOKUP("+",БазаДанных,13,FALSE)</f>
        <v>443.09999999999997</v>
      </c>
      <c r="G11" s="17"/>
    </row>
    <row r="12" spans="1:7" s="25" customFormat="1" ht="15.75" customHeight="1">
      <c r="A12" s="19" t="s">
        <v>12</v>
      </c>
      <c r="B12" s="17"/>
      <c r="C12" s="20">
        <f>Найм</f>
        <v>0.5</v>
      </c>
      <c r="D12" s="21" t="s">
        <v>57</v>
      </c>
      <c r="E12" s="17">
        <f>VLOOKUP("+",БазаДанных,5,FALSE)</f>
        <v>28.4</v>
      </c>
      <c r="F12" s="22">
        <f>VLOOKUP("+",БазаДанных,14,FALSE)</f>
        <v>14.2</v>
      </c>
      <c r="G12" s="17"/>
    </row>
    <row r="13" spans="1:7" s="25" customFormat="1" ht="15.75" customHeight="1">
      <c r="A13" s="19" t="s">
        <v>13</v>
      </c>
      <c r="B13" s="17"/>
      <c r="C13" s="20">
        <f>Мусор</f>
        <v>41</v>
      </c>
      <c r="D13" s="21" t="s">
        <v>57</v>
      </c>
      <c r="E13" s="17">
        <f>VLOOKUP("+",БазаДанных,4,FALSE)</f>
        <v>3</v>
      </c>
      <c r="F13" s="22">
        <f>VLOOKUP("+",БазаДанных,15,FALSE)</f>
        <v>123</v>
      </c>
      <c r="G13" s="17"/>
    </row>
    <row r="14" spans="1:7" ht="15">
      <c r="A14" s="14"/>
      <c r="B14" s="14"/>
      <c r="C14" s="14"/>
      <c r="D14" s="14"/>
      <c r="E14" s="14"/>
      <c r="F14" s="14"/>
      <c r="G14" s="14"/>
    </row>
    <row r="15" spans="1:7" ht="15.75">
      <c r="A15" s="14"/>
      <c r="B15" s="14"/>
      <c r="C15" s="14"/>
      <c r="D15" s="45" t="s">
        <v>51</v>
      </c>
      <c r="E15" s="45"/>
      <c r="F15" s="23" t="e">
        <f>VLOOKUP("+",БазаДанных,16,FALSE)</f>
        <v>#REF!</v>
      </c>
      <c r="G15" s="14"/>
    </row>
    <row r="16" spans="1:7" ht="15">
      <c r="A16" s="14"/>
      <c r="B16" s="14"/>
      <c r="C16" s="14"/>
      <c r="D16" s="14"/>
      <c r="E16" s="14"/>
      <c r="F16" s="14"/>
      <c r="G16" s="14"/>
    </row>
  </sheetData>
  <sheetProtection formatCells="0" formatColumns="0" formatRows="0" insertColumns="0" insertRows="0" insertHyperlinks="0" deleteColumns="0" deleteRows="0" sort="0" autoFilter="0"/>
  <mergeCells count="2">
    <mergeCell ref="D3:F3"/>
    <mergeCell ref="D15:E15"/>
  </mergeCells>
  <printOptions horizontalCentered="1"/>
  <pageMargins left="1.299212598425197" right="0.7086614173228347" top="0.7480314960629921" bottom="0.7480314960629921" header="0.31496062992125984" footer="0.31496062992125984"/>
  <pageSetup fitToHeight="0" horizontalDpi="300" verticalDpi="300" orientation="portrait" paperSize="9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2009-11-06T18:59:43Z</cp:lastPrinted>
  <dcterms:created xsi:type="dcterms:W3CDTF">2009-11-02T18:29:33Z</dcterms:created>
  <dcterms:modified xsi:type="dcterms:W3CDTF">2009-11-06T21:24:34Z</dcterms:modified>
  <cp:category/>
  <cp:version/>
  <cp:contentType/>
  <cp:contentStatus/>
</cp:coreProperties>
</file>